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บการเงิน(แป๋ว)\งบการเงิน60 (ประจำเดือน)\งบรายรับ - รายจ่ายเงินสด ปี  60\"/>
    </mc:Choice>
  </mc:AlternateContent>
  <bookViews>
    <workbookView xWindow="360" yWindow="105" windowWidth="15480" windowHeight="9210" tabRatio="830" firstSheet="9" activeTab="9"/>
  </bookViews>
  <sheets>
    <sheet name="ต.ค.60" sheetId="30" state="hidden" r:id="rId1"/>
    <sheet name="พ.ย.60" sheetId="29" state="hidden" r:id="rId2"/>
    <sheet name="ธ.ค.60" sheetId="31" state="hidden" r:id="rId3"/>
    <sheet name="ม.ค.60" sheetId="32" state="hidden" r:id="rId4"/>
    <sheet name="ก.พ.60" sheetId="33" state="hidden" r:id="rId5"/>
    <sheet name="มี.ค.60" sheetId="34" state="hidden" r:id="rId6"/>
    <sheet name="เม.ย.60" sheetId="35" state="hidden" r:id="rId7"/>
    <sheet name="พ.ค.60" sheetId="36" state="hidden" r:id="rId8"/>
    <sheet name="มิ.ย.60" sheetId="37" state="hidden" r:id="rId9"/>
    <sheet name="ก.ค.60" sheetId="38" r:id="rId10"/>
    <sheet name="ส.ค.60" sheetId="39" state="hidden" r:id="rId11"/>
    <sheet name="ก.ย.60" sheetId="40" state="hidden" r:id="rId12"/>
  </sheets>
  <externalReferences>
    <externalReference r:id="rId13"/>
    <externalReference r:id="rId14"/>
    <externalReference r:id="rId15"/>
  </externalReferences>
  <calcPr calcId="152511"/>
</workbook>
</file>

<file path=xl/calcChain.xml><?xml version="1.0" encoding="utf-8"?>
<calcChain xmlns="http://schemas.openxmlformats.org/spreadsheetml/2006/main">
  <c r="D35" i="40" l="1"/>
  <c r="D35" i="33"/>
  <c r="D36" i="40"/>
  <c r="C20" i="40"/>
  <c r="D39" i="40"/>
  <c r="C7" i="40"/>
  <c r="D37" i="40"/>
  <c r="C27" i="40"/>
  <c r="C16" i="40"/>
  <c r="F16" i="36"/>
  <c r="H16" i="36"/>
  <c r="C16" i="36"/>
  <c r="C31" i="40"/>
  <c r="C28" i="40" l="1"/>
  <c r="C32" i="40"/>
  <c r="C30" i="40"/>
  <c r="C10" i="40" l="1"/>
  <c r="C8" i="40"/>
  <c r="C33" i="40"/>
  <c r="D38" i="40"/>
  <c r="C11" i="40"/>
  <c r="C6" i="40"/>
  <c r="D40" i="40"/>
  <c r="D41" i="40"/>
  <c r="C9" i="40"/>
  <c r="C12" i="40"/>
  <c r="C13" i="40"/>
  <c r="C14" i="40"/>
  <c r="C15" i="40"/>
  <c r="C17" i="40"/>
  <c r="C18" i="40"/>
  <c r="C19" i="40"/>
  <c r="C34" i="40"/>
  <c r="C27" i="39" l="1"/>
  <c r="D38" i="39" l="1"/>
  <c r="C8" i="39"/>
  <c r="C10" i="39" l="1"/>
  <c r="C33" i="39"/>
  <c r="C28" i="39"/>
  <c r="C6" i="39"/>
  <c r="C11" i="39"/>
  <c r="D36" i="39"/>
  <c r="D37" i="39"/>
  <c r="D39" i="39"/>
  <c r="D40" i="39"/>
  <c r="D41" i="39"/>
  <c r="C9" i="39"/>
  <c r="C12" i="39"/>
  <c r="C13" i="39"/>
  <c r="C14" i="39"/>
  <c r="C15" i="39"/>
  <c r="C17" i="39"/>
  <c r="C18" i="39"/>
  <c r="C19" i="39"/>
  <c r="C20" i="39"/>
  <c r="C30" i="39"/>
  <c r="C31" i="39"/>
  <c r="C32" i="39"/>
  <c r="C34" i="39"/>
  <c r="C7" i="39"/>
  <c r="I37" i="39" l="1"/>
  <c r="I33" i="39"/>
  <c r="F14" i="39"/>
  <c r="D38" i="38"/>
  <c r="C8" i="38"/>
  <c r="H8" i="39" l="1"/>
  <c r="H11" i="39" s="1"/>
  <c r="C10" i="38" l="1"/>
  <c r="C11" i="38"/>
  <c r="C9" i="38" l="1"/>
  <c r="I37" i="38" l="1"/>
  <c r="I33" i="38"/>
  <c r="C27" i="38"/>
  <c r="C33" i="38"/>
  <c r="C30" i="38"/>
  <c r="C28" i="38"/>
  <c r="D37" i="38"/>
  <c r="C14" i="38"/>
  <c r="C13" i="38"/>
  <c r="C6" i="38"/>
  <c r="D36" i="38" l="1"/>
  <c r="D39" i="38"/>
  <c r="D40" i="38"/>
  <c r="D41" i="38"/>
  <c r="C7" i="38"/>
  <c r="F14" i="38"/>
  <c r="C12" i="38"/>
  <c r="C15" i="38"/>
  <c r="C17" i="38"/>
  <c r="C18" i="38"/>
  <c r="C19" i="38"/>
  <c r="C20" i="38"/>
  <c r="C31" i="38"/>
  <c r="C32" i="38"/>
  <c r="C34" i="38"/>
  <c r="C6" i="37"/>
  <c r="C10" i="37"/>
  <c r="H8" i="38" l="1"/>
  <c r="H11" i="38" s="1"/>
  <c r="C27" i="37"/>
  <c r="C16" i="37"/>
  <c r="C16" i="38" s="1"/>
  <c r="C16" i="39" s="1"/>
  <c r="D38" i="37"/>
  <c r="C8" i="37"/>
  <c r="C33" i="37"/>
  <c r="C30" i="37"/>
  <c r="C28" i="37"/>
  <c r="D36" i="37" l="1"/>
  <c r="D37" i="37"/>
  <c r="D39" i="37"/>
  <c r="D40" i="37"/>
  <c r="D41" i="37"/>
  <c r="C9" i="37"/>
  <c r="C11" i="37"/>
  <c r="C12" i="37"/>
  <c r="C13" i="37"/>
  <c r="C14" i="37"/>
  <c r="C15" i="37"/>
  <c r="C17" i="37"/>
  <c r="C18" i="37"/>
  <c r="C19" i="37"/>
  <c r="C20" i="37"/>
  <c r="C31" i="37"/>
  <c r="C32" i="37"/>
  <c r="C34" i="37"/>
  <c r="C7" i="37"/>
  <c r="F14" i="37"/>
  <c r="H8" i="37"/>
  <c r="H11" i="37" s="1"/>
  <c r="C27" i="36" l="1"/>
  <c r="C10" i="36"/>
  <c r="C8" i="36"/>
  <c r="C31" i="36"/>
  <c r="C30" i="36"/>
  <c r="C28" i="36"/>
  <c r="D38" i="36"/>
  <c r="D37" i="36"/>
  <c r="C12" i="36"/>
  <c r="D40" i="36"/>
  <c r="C6" i="36"/>
  <c r="C11" i="36"/>
  <c r="C7" i="36" l="1"/>
  <c r="C9" i="36"/>
  <c r="C13" i="36"/>
  <c r="C14" i="36"/>
  <c r="C15" i="36"/>
  <c r="C17" i="36"/>
  <c r="C18" i="36"/>
  <c r="C19" i="36"/>
  <c r="C20" i="36"/>
  <c r="C32" i="36"/>
  <c r="C33" i="36"/>
  <c r="C34" i="36"/>
  <c r="D36" i="36" l="1"/>
  <c r="D39" i="36"/>
  <c r="D41" i="36"/>
  <c r="F14" i="36"/>
  <c r="H8" i="36"/>
  <c r="H11" i="36" s="1"/>
  <c r="H11" i="35" l="1"/>
  <c r="C8" i="35"/>
  <c r="H8" i="35" l="1"/>
  <c r="C11" i="35" l="1"/>
  <c r="C10" i="35"/>
  <c r="F14" i="35" l="1"/>
  <c r="C16" i="35" l="1"/>
  <c r="C27" i="35"/>
  <c r="D38" i="35"/>
  <c r="C33" i="35"/>
  <c r="C12" i="35"/>
  <c r="C6" i="35"/>
  <c r="D36" i="35"/>
  <c r="D37" i="35"/>
  <c r="D39" i="35"/>
  <c r="D40" i="35"/>
  <c r="D41" i="35"/>
  <c r="C7" i="35"/>
  <c r="C9" i="35"/>
  <c r="C13" i="35"/>
  <c r="C14" i="35"/>
  <c r="C15" i="35"/>
  <c r="C17" i="35"/>
  <c r="C18" i="35"/>
  <c r="C19" i="35"/>
  <c r="C20" i="35"/>
  <c r="C28" i="35"/>
  <c r="C30" i="35"/>
  <c r="C31" i="35"/>
  <c r="C32" i="35"/>
  <c r="C34" i="35"/>
  <c r="C27" i="32" l="1"/>
  <c r="C16" i="32"/>
  <c r="F14" i="34" l="1"/>
  <c r="C8" i="34"/>
  <c r="C10" i="34"/>
  <c r="D38" i="34"/>
  <c r="C33" i="34"/>
  <c r="C31" i="34"/>
  <c r="C30" i="34"/>
  <c r="C28" i="34"/>
  <c r="D37" i="34"/>
  <c r="D35" i="34"/>
  <c r="D35" i="35" s="1"/>
  <c r="C6" i="34"/>
  <c r="C14" i="34"/>
  <c r="D36" i="34"/>
  <c r="D39" i="34"/>
  <c r="D40" i="34"/>
  <c r="D41" i="34"/>
  <c r="C7" i="34"/>
  <c r="C9" i="34"/>
  <c r="C11" i="34"/>
  <c r="C12" i="34"/>
  <c r="C13" i="34"/>
  <c r="C15" i="34"/>
  <c r="C17" i="34"/>
  <c r="C18" i="34"/>
  <c r="C19" i="34"/>
  <c r="C20" i="34"/>
  <c r="C32" i="34"/>
  <c r="C34" i="34"/>
  <c r="D35" i="36" l="1"/>
  <c r="D42" i="35"/>
  <c r="D42" i="34"/>
  <c r="D37" i="32"/>
  <c r="D38" i="32"/>
  <c r="D35" i="37" l="1"/>
  <c r="D42" i="36"/>
  <c r="F14" i="33"/>
  <c r="D35" i="38" l="1"/>
  <c r="D42" i="37"/>
  <c r="F14" i="32"/>
  <c r="F14" i="31"/>
  <c r="F14" i="30"/>
  <c r="F14" i="29"/>
  <c r="D35" i="39" l="1"/>
  <c r="D42" i="38"/>
  <c r="C8" i="33"/>
  <c r="C10" i="33"/>
  <c r="D42" i="39" l="1"/>
  <c r="C16" i="33"/>
  <c r="C16" i="34" s="1"/>
  <c r="C27" i="33"/>
  <c r="C27" i="34" s="1"/>
  <c r="D38" i="33"/>
  <c r="D36" i="33"/>
  <c r="C33" i="33"/>
  <c r="C30" i="33"/>
  <c r="C28" i="33"/>
  <c r="D37" i="33"/>
  <c r="C6" i="33"/>
  <c r="C14" i="33"/>
  <c r="C13" i="33"/>
  <c r="C12" i="33"/>
  <c r="C9" i="33"/>
  <c r="D39" i="33"/>
  <c r="D40" i="33"/>
  <c r="D41" i="33"/>
  <c r="C7" i="33"/>
  <c r="C11" i="33"/>
  <c r="C15" i="33"/>
  <c r="C17" i="33"/>
  <c r="C18" i="33"/>
  <c r="C19" i="33"/>
  <c r="C20" i="33"/>
  <c r="C31" i="33"/>
  <c r="C32" i="33"/>
  <c r="C34" i="33"/>
  <c r="D42" i="40" l="1"/>
  <c r="D42" i="33"/>
  <c r="C10" i="32"/>
  <c r="C8" i="32"/>
  <c r="C11" i="32" l="1"/>
  <c r="D42" i="32"/>
  <c r="C28" i="32"/>
  <c r="D35" i="32"/>
  <c r="C6" i="32"/>
  <c r="D36" i="32"/>
  <c r="D39" i="32"/>
  <c r="D40" i="32"/>
  <c r="D41" i="32"/>
  <c r="C12" i="32"/>
  <c r="C13" i="32"/>
  <c r="C14" i="32"/>
  <c r="C15" i="32"/>
  <c r="C17" i="32"/>
  <c r="C18" i="32"/>
  <c r="C19" i="32"/>
  <c r="C20" i="32"/>
  <c r="C30" i="32"/>
  <c r="C31" i="32"/>
  <c r="C32" i="32"/>
  <c r="C33" i="32"/>
  <c r="C34" i="32"/>
  <c r="C7" i="32"/>
  <c r="C9" i="32"/>
  <c r="D38" i="31" l="1"/>
  <c r="C10" i="31"/>
  <c r="C16" i="31" l="1"/>
  <c r="C27" i="31"/>
  <c r="C15" i="31"/>
  <c r="C11" i="31"/>
  <c r="C13" i="31"/>
  <c r="C8" i="31"/>
  <c r="C33" i="31"/>
  <c r="C28" i="31"/>
  <c r="D37" i="31"/>
  <c r="D35" i="31"/>
  <c r="C12" i="31"/>
  <c r="D36" i="31"/>
  <c r="D39" i="31"/>
  <c r="D42" i="31" s="1"/>
  <c r="D40" i="31"/>
  <c r="D41" i="31"/>
  <c r="C7" i="31"/>
  <c r="C9" i="31"/>
  <c r="C14" i="31"/>
  <c r="C17" i="31"/>
  <c r="C18" i="31"/>
  <c r="C19" i="31"/>
  <c r="C20" i="31"/>
  <c r="C30" i="31"/>
  <c r="C31" i="31"/>
  <c r="C32" i="31"/>
  <c r="C34" i="31"/>
  <c r="C6" i="31"/>
  <c r="C20" i="29"/>
  <c r="C16" i="29"/>
  <c r="C27" i="29"/>
  <c r="C8" i="29"/>
  <c r="C10" i="29"/>
  <c r="D38" i="29"/>
  <c r="C31" i="29"/>
  <c r="C30" i="29"/>
  <c r="D40" i="29"/>
  <c r="D42" i="29"/>
  <c r="D37" i="29"/>
  <c r="D35" i="29"/>
  <c r="C6" i="29"/>
  <c r="C11" i="29"/>
  <c r="C16" i="30"/>
  <c r="D38" i="30"/>
  <c r="D42" i="30"/>
  <c r="C29" i="30"/>
  <c r="C29" i="29" s="1"/>
  <c r="C29" i="31" s="1"/>
  <c r="C29" i="32" s="1"/>
  <c r="C29" i="33" s="1"/>
  <c r="C29" i="34" s="1"/>
  <c r="C26" i="30"/>
  <c r="C26" i="29" s="1"/>
  <c r="C26" i="31" s="1"/>
  <c r="C26" i="32" s="1"/>
  <c r="C26" i="33" s="1"/>
  <c r="C26" i="34" s="1"/>
  <c r="C25" i="30"/>
  <c r="C25" i="29" s="1"/>
  <c r="C25" i="31" s="1"/>
  <c r="C25" i="32" s="1"/>
  <c r="C25" i="33" s="1"/>
  <c r="C25" i="34" s="1"/>
  <c r="C24" i="30"/>
  <c r="C24" i="29" s="1"/>
  <c r="C24" i="31" s="1"/>
  <c r="C24" i="32" s="1"/>
  <c r="C24" i="33" s="1"/>
  <c r="C24" i="34" s="1"/>
  <c r="C23" i="30"/>
  <c r="C23" i="29" s="1"/>
  <c r="C23" i="31" s="1"/>
  <c r="C23" i="32" s="1"/>
  <c r="C23" i="33" s="1"/>
  <c r="C23" i="34" s="1"/>
  <c r="C22" i="30"/>
  <c r="C22" i="29" s="1"/>
  <c r="C22" i="31" s="1"/>
  <c r="C22" i="32" s="1"/>
  <c r="C22" i="33" s="1"/>
  <c r="C22" i="34" s="1"/>
  <c r="C21" i="30"/>
  <c r="C21" i="29" s="1"/>
  <c r="C21" i="31" s="1"/>
  <c r="C21" i="32" s="1"/>
  <c r="C21" i="33" s="1"/>
  <c r="C21" i="34" s="1"/>
  <c r="D37" i="30"/>
  <c r="C25" i="35" l="1"/>
  <c r="C25" i="36" s="1"/>
  <c r="C25" i="37" s="1"/>
  <c r="C25" i="38" s="1"/>
  <c r="C25" i="39" s="1"/>
  <c r="C25" i="40" s="1"/>
  <c r="C22" i="35"/>
  <c r="C22" i="36" s="1"/>
  <c r="C22" i="37" s="1"/>
  <c r="C22" i="38" s="1"/>
  <c r="C22" i="39" s="1"/>
  <c r="C22" i="40" s="1"/>
  <c r="C26" i="35"/>
  <c r="C26" i="36" s="1"/>
  <c r="C26" i="37" s="1"/>
  <c r="C26" i="38" s="1"/>
  <c r="C26" i="39" s="1"/>
  <c r="C26" i="40" s="1"/>
  <c r="C24" i="35"/>
  <c r="C24" i="36" s="1"/>
  <c r="C23" i="35"/>
  <c r="C23" i="36" s="1"/>
  <c r="C23" i="37" s="1"/>
  <c r="C23" i="38" s="1"/>
  <c r="C23" i="39" s="1"/>
  <c r="C23" i="40" s="1"/>
  <c r="C29" i="35"/>
  <c r="C29" i="36" s="1"/>
  <c r="C29" i="37" s="1"/>
  <c r="C29" i="38" s="1"/>
  <c r="C29" i="39" s="1"/>
  <c r="C29" i="40" s="1"/>
  <c r="C21" i="35"/>
  <c r="C21" i="36" s="1"/>
  <c r="C21" i="37" s="1"/>
  <c r="C21" i="38" s="1"/>
  <c r="C21" i="39" s="1"/>
  <c r="C21" i="40" s="1"/>
  <c r="F33" i="34"/>
  <c r="C42" i="34"/>
  <c r="F42" i="34" s="1"/>
  <c r="C42" i="33"/>
  <c r="F42" i="33" s="1"/>
  <c r="C42" i="32"/>
  <c r="F42" i="32" s="1"/>
  <c r="C42" i="30"/>
  <c r="F42" i="30" s="1"/>
  <c r="C42" i="31"/>
  <c r="F42" i="31" s="1"/>
  <c r="C42" i="29"/>
  <c r="F42" i="29" s="1"/>
  <c r="C10" i="30"/>
  <c r="C8" i="30"/>
  <c r="C11" i="30"/>
  <c r="C7" i="30"/>
  <c r="C6" i="30"/>
  <c r="C24" i="37" l="1"/>
  <c r="C24" i="38" s="1"/>
  <c r="C42" i="36"/>
  <c r="F42" i="36" s="1"/>
  <c r="F33" i="36"/>
  <c r="F33" i="35"/>
  <c r="C42" i="35"/>
  <c r="F42" i="35" s="1"/>
  <c r="D36" i="29"/>
  <c r="D39" i="29"/>
  <c r="D41" i="29"/>
  <c r="C7" i="29"/>
  <c r="C9" i="29"/>
  <c r="C12" i="29"/>
  <c r="C13" i="29"/>
  <c r="C14" i="29"/>
  <c r="C15" i="29"/>
  <c r="C17" i="29"/>
  <c r="C18" i="29"/>
  <c r="C19" i="29"/>
  <c r="C28" i="29"/>
  <c r="C32" i="29"/>
  <c r="C33" i="29"/>
  <c r="C34" i="29"/>
  <c r="C42" i="38" l="1"/>
  <c r="F42" i="38" s="1"/>
  <c r="C24" i="39"/>
  <c r="C24" i="40" s="1"/>
  <c r="F33" i="40" s="1"/>
  <c r="G35" i="40" s="1"/>
  <c r="C42" i="37"/>
  <c r="F42" i="37" s="1"/>
  <c r="F33" i="38"/>
  <c r="F35" i="38" s="1"/>
  <c r="F39" i="38" s="1"/>
  <c r="F33" i="37"/>
  <c r="F35" i="37" s="1"/>
  <c r="C42" i="40" l="1"/>
  <c r="F42" i="40" s="1"/>
  <c r="C42" i="39"/>
  <c r="F42" i="39" s="1"/>
  <c r="F33" i="39"/>
  <c r="F35" i="39" s="1"/>
  <c r="F39" i="39" s="1"/>
</calcChain>
</file>

<file path=xl/sharedStrings.xml><?xml version="1.0" encoding="utf-8"?>
<sst xmlns="http://schemas.openxmlformats.org/spreadsheetml/2006/main" count="998" uniqueCount="100">
  <si>
    <t>องค์การบริหารส่วนตำบลบ้านวัง อำเภอโนนไทย จังหวัดนครราชสีมา</t>
  </si>
  <si>
    <t>รายการ</t>
  </si>
  <si>
    <t>รหัสบัญชี</t>
  </si>
  <si>
    <t>เดบิต</t>
  </si>
  <si>
    <t>เครดิต</t>
  </si>
  <si>
    <t>เงินสด</t>
  </si>
  <si>
    <t xml:space="preserve">   </t>
  </si>
  <si>
    <t>รายได้ค้างรับจากรัฐบาล</t>
  </si>
  <si>
    <t>เงินฝากธนาคารกรุงไทย ออมทรัพย์ เลขที่  341-0-30143-7</t>
  </si>
  <si>
    <t>เงินฝากธนาคารกรุงไทย ออมทรัพย์ เลขที่ 982-2-48540-9</t>
  </si>
  <si>
    <t>เงินฝากธนาคาร ธกส. ออมทรัพย์ เลขที่ 01-521-2-44712-0</t>
  </si>
  <si>
    <t>เงินฝากธนาคาร ธกส. ออมทรัพย์ เลขที่ 01-521-2-56967-5</t>
  </si>
  <si>
    <t>เงินฝากธนาคาร ธกส. ออมทรัพย์  เลขที่ 01-521-2-57781-2</t>
  </si>
  <si>
    <t>เงินฝากธนาคาร ธกส. ประจำ เลขที่  30-521-4-11661-8</t>
  </si>
  <si>
    <t>เงินฝากธนาคาร ออมสิน ประจำ  เลขที่ 300-000-12047-1</t>
  </si>
  <si>
    <t>เงินขาดบัญชี-กิจการประปา อบต.บ้านวัง</t>
  </si>
  <si>
    <t xml:space="preserve">ลูกหนี้ภาษีบำรุงท้องที่ </t>
  </si>
  <si>
    <t>ลูกหนี้เงินทุนโครงการเศรษฐกิจชุมชน</t>
  </si>
  <si>
    <t>ลูกหนี้เงินยืมเงินสะสม</t>
  </si>
  <si>
    <t>ลูกหนี้เงินสะสม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</si>
  <si>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</si>
  <si>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</si>
  <si>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</si>
  <si>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</si>
  <si>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</si>
  <si>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</si>
  <si>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</si>
  <si>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</si>
  <si>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</si>
  <si>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</si>
  <si>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</si>
  <si>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</si>
  <si>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</si>
  <si>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 xml:space="preserve">รายรับ </t>
  </si>
  <si>
    <t>ค่าปรับหน้าฎีกา</t>
  </si>
  <si>
    <t>เจ้าหนี้เงินสะสม</t>
  </si>
  <si>
    <t>เงินสะสม</t>
  </si>
  <si>
    <t>เงินทุนสำรองเงินสะสม</t>
  </si>
  <si>
    <t>รวม</t>
  </si>
  <si>
    <t>11011000</t>
  </si>
  <si>
    <t>11012001</t>
  </si>
  <si>
    <t>11012002</t>
  </si>
  <si>
    <t>12045000</t>
  </si>
  <si>
    <t>ลูกหนี้เงินยืม</t>
  </si>
  <si>
    <t>11041000</t>
  </si>
  <si>
    <t>11043002</t>
  </si>
  <si>
    <t>11045000</t>
  </si>
  <si>
    <t>11047000</t>
  </si>
  <si>
    <t>19040000</t>
  </si>
  <si>
    <t>5100000</t>
  </si>
  <si>
    <t>5210000</t>
  </si>
  <si>
    <t>5220000</t>
  </si>
  <si>
    <t>5220500</t>
  </si>
  <si>
    <t>5220700</t>
  </si>
  <si>
    <t>5310000</t>
  </si>
  <si>
    <t>5320000</t>
  </si>
  <si>
    <t>5330000</t>
  </si>
  <si>
    <t>5340000</t>
  </si>
  <si>
    <t>5410000</t>
  </si>
  <si>
    <t>5420000</t>
  </si>
  <si>
    <t>5510000</t>
  </si>
  <si>
    <t>5610000</t>
  </si>
  <si>
    <r>
      <t xml:space="preserve">เงินรับฝาก </t>
    </r>
    <r>
      <rPr>
        <b/>
        <sz val="14"/>
        <rFont val="TH SarabunPSK"/>
        <family val="2"/>
      </rPr>
      <t>(หมายเหตุ 3)</t>
    </r>
  </si>
  <si>
    <t>40000000</t>
  </si>
  <si>
    <t>21010000</t>
  </si>
  <si>
    <t>19030000</t>
  </si>
  <si>
    <t>21040000</t>
  </si>
  <si>
    <t>29010000</t>
  </si>
  <si>
    <t>31000000</t>
  </si>
  <si>
    <t>32000000</t>
  </si>
  <si>
    <t>เงินอุดหนุนระบุวัตถประสงค์/เฉพาะกิจ</t>
  </si>
  <si>
    <r>
      <t xml:space="preserve">รายจ่ายค้างจ่าย </t>
    </r>
    <r>
      <rPr>
        <b/>
        <sz val="14"/>
        <rFont val="TH SarabunPSK"/>
        <family val="2"/>
      </rPr>
      <t>(หมายเหตุ 2)</t>
    </r>
  </si>
  <si>
    <t>6000000</t>
  </si>
  <si>
    <t xml:space="preserve">งบทดลอง </t>
  </si>
  <si>
    <t>ณ วันที่  31  ตุลาคม  2559</t>
  </si>
  <si>
    <t>ณ วันที่  30  พฤศจิกายน  2559</t>
  </si>
  <si>
    <t>11042000</t>
  </si>
  <si>
    <t>ณ วันที่  30  ธันวาคม  2559</t>
  </si>
  <si>
    <t>ณ วันที่  31  มกราคม  2560</t>
  </si>
  <si>
    <t>ณ วันที่  28  กุมภาพันธ์  2560</t>
  </si>
  <si>
    <t>ณ วันที่  31  มีนาคม  2560</t>
  </si>
  <si>
    <t>ณ วันที่  30  เมษายน  2560</t>
  </si>
  <si>
    <t>ณ วันที่  31  พฤษภาคม  2560</t>
  </si>
  <si>
    <t>ณ วันที่  30  มิถุนายน  2560</t>
  </si>
  <si>
    <t>ณ วันที่  31  กรกฎาคม  2560</t>
  </si>
  <si>
    <t>เบี้ย</t>
  </si>
  <si>
    <t>ณ วันที่  31  สิงหาคม  2560</t>
  </si>
  <si>
    <t>ณ วันที่  30  กันยายน  2560</t>
  </si>
  <si>
    <t>ปรับปรุงส่งใช้เงินยืม</t>
  </si>
  <si>
    <t>รายการจัดทำใบผ่านทั่วไป</t>
  </si>
  <si>
    <t>ปป.ลดลูกหนี้เงินยืม ส่งเกิน</t>
  </si>
  <si>
    <t>ปป.บันทึกบัญชีผิดเป็นลดลูกหนี้เป็นค่าที่ดินฯ</t>
  </si>
  <si>
    <t>ปป.ค่าปรับหน้าฎีกาเข้าเป็นรายรับ</t>
  </si>
  <si>
    <t>ปป.ลดรายได้จากรัฐบาลค้างรับเนื่องจากไม่ได้รับจัดสรรเงินอุดหนุนฯ</t>
  </si>
  <si>
    <t>ปป.ลดรายได้จากรัฐบาลฯเนื่องจากได้รับจัดสรรเงินอุดหนุนฯน้อยกกว่างบประมาณที่ได้รับแจ้ง</t>
  </si>
  <si>
    <t>ปป.รายจ่ายค้างจ่ายเหลือจ่ายปี2559 เข้าเงินสะสม</t>
  </si>
  <si>
    <t>ปป.ลูกหนี้ภาษีจากรายรับ</t>
  </si>
  <si>
    <t>ปป.เงินอุดหนุนระบุฯเหลือจ่ายที่ได้รับจัดสรรปี2557-2559 ผดด. เข้าเงินรับฝากลดยอดรายรับ</t>
  </si>
  <si>
    <t>ปป.ลูกหนี้เงินสะสมจากได้รับจัดสรรเงินอุดหนุนทั่วไประบุฯ และลดยอดรายรับกับรายได้จากรัฐบาลฯ</t>
  </si>
  <si>
    <t>ปป.รายการกันเงินปี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</si>
</sst>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" x14ac:knownFonts="1">
    <font>
      <sz val="11"/>
      <color theme="1"/>
      <name val="Tahoma"/>
      <family val="2"/>
      <charset val="222"/>
      <scheme val="minor"/>
    </font>
    <font>
      <sz val="14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187" fontId="1" fillId="0" borderId="0" xfId="0" applyNumberFormat="1" applyFont="1" applyFill="1"/>
    <xf numFmtId="43" fontId="1" fillId="0" borderId="0" xfId="0" applyNumberFormat="1" applyFont="1" applyFill="1"/>
    <xf numFmtId="0" fontId="2" fillId="0" borderId="0" xfId="0" applyFont="1" applyFill="1"/>
    <xf numFmtId="187" fontId="2" fillId="0" borderId="0" xfId="0" applyNumberFormat="1" applyFont="1" applyFill="1"/>
    <xf numFmtId="43" fontId="1" fillId="0" borderId="2" xfId="0" applyNumberFormat="1" applyFont="1" applyFill="1" applyBorder="1"/>
    <xf numFmtId="43" fontId="2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0" xfId="0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43" fontId="1" fillId="2" borderId="2" xfId="0" applyNumberFormat="1" applyFont="1" applyFill="1" applyBorder="1"/>
    <xf numFmtId="0" fontId="2" fillId="0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10;&#3585;&#3634;&#3619;&#3648;&#3591;&#3636;&#3609;(&#3649;&#3611;&#3659;&#3623;)/&#3591;&#3610;&#3585;&#3634;&#3619;&#3648;&#3591;&#3636;&#3609;60%20(&#3611;&#3619;&#3632;&#3592;&#3635;&#3648;&#3604;&#3639;&#3629;&#3609;)/&#3651;&#3610;&#3612;&#3656;&#3634;&#3609;&#3619;&#3634;&#3618;&#3585;&#3634;&#3619;&#3610;&#3633;&#3597;&#3594;&#3637;%20-%20&#3629;&#3610;&#3605;/&#3651;&#3610;&#3612;&#3656;&#3634;&#3609;&#3619;&#3634;&#3618;&#3585;&#3634;&#3619;&#3610;&#3633;&#3597;&#3594;&#363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&#3627;&#3617;&#3634;&#3618;&#3648;&#3627;&#3605;&#3640;&#3611;&#3619;&#3632;&#3585;&#3629;&#3610;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&#3627;&#3617;&#3634;&#3618;&#3648;&#3627;&#3605;&#3640;&#3611;&#3619;&#3632;&#3585;&#3629;&#361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60"/>
      <sheetName val="พ.ย.60 "/>
      <sheetName val="ธ.ค.60  "/>
      <sheetName val="ม.ค.60"/>
      <sheetName val="ก.พ.60"/>
      <sheetName val="มี.ค.60"/>
      <sheetName val="เม.ย.60"/>
      <sheetName val="พ.ค.60"/>
      <sheetName val="มิ.ย.60"/>
      <sheetName val="ก.ค.60"/>
      <sheetName val="ส.ค.60"/>
      <sheetName val="ก.ย.60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</sheetNames>
    <sheetDataSet>
      <sheetData sheetId="0">
        <row r="21">
          <cell r="D21">
            <v>4660</v>
          </cell>
        </row>
        <row r="22">
          <cell r="D22">
            <v>321500</v>
          </cell>
        </row>
        <row r="23">
          <cell r="D23">
            <v>27200</v>
          </cell>
        </row>
        <row r="24">
          <cell r="D24">
            <v>500</v>
          </cell>
        </row>
        <row r="25">
          <cell r="D25">
            <v>214260</v>
          </cell>
        </row>
        <row r="26">
          <cell r="D26">
            <v>373730</v>
          </cell>
        </row>
        <row r="27">
          <cell r="D27">
            <v>43385</v>
          </cell>
        </row>
        <row r="28">
          <cell r="D28">
            <v>93185</v>
          </cell>
        </row>
        <row r="29">
          <cell r="D29">
            <v>34850</v>
          </cell>
        </row>
        <row r="31">
          <cell r="D31">
            <v>27036.69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E6">
            <v>14346.38</v>
          </cell>
        </row>
      </sheetData>
      <sheetData sheetId="8"/>
      <sheetData sheetId="9"/>
      <sheetData sheetId="10"/>
      <sheetData sheetId="11">
        <row r="38">
          <cell r="D38">
            <v>303000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  <sheetName val="ส.ค."/>
      <sheetName val="ก.ย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7">
          <cell r="E27">
            <v>13928.67</v>
          </cell>
          <cell r="G27">
            <v>48778.04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2"/>
  <sheetViews>
    <sheetView zoomScaleNormal="100" zoomScaleSheetLayoutView="100" workbookViewId="0">
      <selection activeCell="A12" sqref="A12"/>
    </sheetView>
  </sheetViews>
  <sheetFormatPr defaultColWidth="9" defaultRowHeight="20.25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375" style="2" customWidth="1"/>
    <col min="7" max="7" width="13.375" style="1" customWidth="1"/>
    <col min="8" max="16384" width="9" style="1"/>
  </cols>
  <sheetData>
    <row r="1" spans="1:7" s="4" customFormat="1" ht="20.25" customHeight="1" x14ac:dyDescent="0.5">
      <c r="A1" s="24" t="s">
        <v>0</v>
      </c>
      <c r="B1" s="24"/>
      <c r="C1" s="24"/>
      <c r="D1" s="24"/>
      <c r="E1" s="5"/>
      <c r="F1" s="5"/>
    </row>
    <row r="2" spans="1:7" s="4" customFormat="1" ht="20.25" customHeight="1" x14ac:dyDescent="0.5">
      <c r="A2" s="24" t="s">
        <v>73</v>
      </c>
      <c r="B2" s="24"/>
      <c r="C2" s="24"/>
      <c r="D2" s="24"/>
      <c r="E2" s="5"/>
      <c r="F2" s="5"/>
    </row>
    <row r="3" spans="1:7" s="4" customFormat="1" ht="20.25" customHeight="1" x14ac:dyDescent="0.5">
      <c r="A3" s="24" t="s">
        <v>74</v>
      </c>
      <c r="B3" s="24"/>
      <c r="C3" s="24"/>
      <c r="D3" s="24"/>
      <c r="E3" s="5"/>
      <c r="F3" s="5"/>
    </row>
    <row r="4" spans="1:7" ht="12.75" customHeight="1" x14ac:dyDescent="0.5"/>
    <row r="5" spans="1:7" ht="20.25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7" ht="20.25" customHeight="1" x14ac:dyDescent="0.5">
      <c r="A6" s="13" t="s">
        <v>5</v>
      </c>
      <c r="B6" s="11" t="s">
        <v>39</v>
      </c>
      <c r="C6" s="6">
        <f>0+47264-47264</f>
        <v>0</v>
      </c>
      <c r="D6" s="6" t="s">
        <v>6</v>
      </c>
    </row>
    <row r="7" spans="1:7" ht="20.25" customHeight="1" x14ac:dyDescent="0.5">
      <c r="A7" s="13" t="s">
        <v>7</v>
      </c>
      <c r="B7" s="11" t="s">
        <v>76</v>
      </c>
      <c r="C7" s="6">
        <f>6385370-1395600</f>
        <v>4989770</v>
      </c>
      <c r="D7" s="6"/>
    </row>
    <row r="8" spans="1:7" ht="20.25" customHeight="1" x14ac:dyDescent="0.5">
      <c r="A8" s="13" t="s">
        <v>8</v>
      </c>
      <c r="B8" s="11" t="s">
        <v>40</v>
      </c>
      <c r="C8" s="6">
        <f>10883964.41+6717781.43-759920</f>
        <v>16841825.84</v>
      </c>
      <c r="D8" s="6"/>
    </row>
    <row r="9" spans="1:7" ht="20.25" customHeight="1" x14ac:dyDescent="0.5">
      <c r="A9" s="13" t="s">
        <v>9</v>
      </c>
      <c r="B9" s="11" t="s">
        <v>40</v>
      </c>
      <c r="C9" s="6">
        <v>180368.33</v>
      </c>
      <c r="D9" s="6" t="s">
        <v>6</v>
      </c>
    </row>
    <row r="10" spans="1:7" ht="20.25" customHeight="1" x14ac:dyDescent="0.5">
      <c r="A10" s="13" t="s">
        <v>10</v>
      </c>
      <c r="B10" s="11" t="s">
        <v>40</v>
      </c>
      <c r="C10" s="6">
        <f>2520006.5+28600-699331.04</f>
        <v>1849275.46</v>
      </c>
      <c r="D10" s="6"/>
      <c r="G10" s="3"/>
    </row>
    <row r="11" spans="1:7" ht="20.25" customHeight="1" x14ac:dyDescent="0.5">
      <c r="A11" s="13" t="s">
        <v>11</v>
      </c>
      <c r="B11" s="11" t="s">
        <v>40</v>
      </c>
      <c r="C11" s="6">
        <f>528933.47+18894</f>
        <v>547827.47</v>
      </c>
      <c r="D11" s="6"/>
    </row>
    <row r="12" spans="1:7" ht="20.25" customHeight="1" x14ac:dyDescent="0.5">
      <c r="A12" s="13" t="s">
        <v>12</v>
      </c>
      <c r="B12" s="11" t="s">
        <v>40</v>
      </c>
      <c r="C12" s="6">
        <v>17253.28</v>
      </c>
      <c r="D12" s="6"/>
    </row>
    <row r="13" spans="1:7" ht="20.25" customHeight="1" x14ac:dyDescent="0.5">
      <c r="A13" s="13" t="s">
        <v>13</v>
      </c>
      <c r="B13" s="11" t="s">
        <v>41</v>
      </c>
      <c r="C13" s="6">
        <v>302529</v>
      </c>
      <c r="D13" s="6"/>
    </row>
    <row r="14" spans="1:7" ht="20.25" customHeight="1" x14ac:dyDescent="0.5">
      <c r="A14" s="13" t="s">
        <v>14</v>
      </c>
      <c r="B14" s="11" t="s">
        <v>41</v>
      </c>
      <c r="C14" s="6">
        <v>2022400.27</v>
      </c>
      <c r="D14" s="6"/>
      <c r="F14" s="2">
        <f>SUM(C8:C14)</f>
        <v>21761479.649999999</v>
      </c>
    </row>
    <row r="15" spans="1:7" ht="20.25" customHeight="1" x14ac:dyDescent="0.5">
      <c r="A15" s="13" t="s">
        <v>15</v>
      </c>
      <c r="B15" s="11" t="s">
        <v>42</v>
      </c>
      <c r="C15" s="6">
        <v>22140</v>
      </c>
      <c r="D15" s="6"/>
    </row>
    <row r="16" spans="1:7" ht="20.25" customHeight="1" x14ac:dyDescent="0.5">
      <c r="A16" s="13" t="s">
        <v>43</v>
      </c>
      <c r="B16" s="11" t="s">
        <v>44</v>
      </c>
      <c r="C16" s="6">
        <f>23776-14856</f>
        <v>8920</v>
      </c>
      <c r="D16" s="6"/>
    </row>
    <row r="17" spans="1:4" ht="20.25" customHeight="1" x14ac:dyDescent="0.5">
      <c r="A17" s="13" t="s">
        <v>16</v>
      </c>
      <c r="B17" s="11" t="s">
        <v>45</v>
      </c>
      <c r="C17" s="6">
        <v>39161.54</v>
      </c>
      <c r="D17" s="6"/>
    </row>
    <row r="18" spans="1:4" ht="20.25" hidden="1" customHeight="1" x14ac:dyDescent="0.5">
      <c r="A18" s="13" t="s">
        <v>17</v>
      </c>
      <c r="B18" s="11" t="s">
        <v>46</v>
      </c>
      <c r="C18" s="6">
        <v>0</v>
      </c>
      <c r="D18" s="6"/>
    </row>
    <row r="19" spans="1:4" ht="20.25" hidden="1" customHeight="1" x14ac:dyDescent="0.5">
      <c r="A19" s="13" t="s">
        <v>18</v>
      </c>
      <c r="B19" s="11" t="s">
        <v>47</v>
      </c>
      <c r="C19" s="6">
        <v>0</v>
      </c>
      <c r="D19" s="6"/>
    </row>
    <row r="20" spans="1:4" ht="20.25" customHeight="1" x14ac:dyDescent="0.5">
      <c r="A20" s="13" t="s">
        <v>19</v>
      </c>
      <c r="B20" s="11" t="s">
        <v>48</v>
      </c>
      <c r="C20" s="6">
        <v>22470</v>
      </c>
      <c r="D20" s="6"/>
    </row>
    <row r="21" spans="1:4" ht="20.25" customHeight="1" x14ac:dyDescent="0.5">
      <c r="A21" s="13" t="s">
        <v>20</v>
      </c>
      <c r="B21" s="11" t="s">
        <v>49</v>
      </c>
      <c r="C21" s="6">
        <f>+[1]ต.ค.60!$D$21+[1]ต.ค.60!$D$22+[1]ต.ค.60!$D$23+[1]ต.ค.60!$D$24</f>
        <v>353860</v>
      </c>
      <c r="D21" s="6"/>
    </row>
    <row r="22" spans="1:4" ht="20.25" customHeight="1" x14ac:dyDescent="0.5">
      <c r="A22" s="13" t="s">
        <v>21</v>
      </c>
      <c r="B22" s="11" t="s">
        <v>50</v>
      </c>
      <c r="C22" s="6">
        <f>+[1]ต.ค.60!$D$25</f>
        <v>214260</v>
      </c>
      <c r="D22" s="6"/>
    </row>
    <row r="23" spans="1:4" ht="20.25" customHeight="1" x14ac:dyDescent="0.5">
      <c r="A23" s="13" t="s">
        <v>22</v>
      </c>
      <c r="B23" s="11" t="s">
        <v>51</v>
      </c>
      <c r="C23" s="6">
        <f>+[1]ต.ค.60!$D$26</f>
        <v>373730</v>
      </c>
      <c r="D23" s="6"/>
    </row>
    <row r="24" spans="1:4" ht="20.25" customHeight="1" x14ac:dyDescent="0.5">
      <c r="A24" s="13" t="s">
        <v>23</v>
      </c>
      <c r="B24" s="11" t="s">
        <v>52</v>
      </c>
      <c r="C24" s="6">
        <f>+[1]ต.ค.60!$D$27</f>
        <v>43385</v>
      </c>
      <c r="D24" s="6"/>
    </row>
    <row r="25" spans="1:4" ht="20.25" customHeight="1" x14ac:dyDescent="0.5">
      <c r="A25" s="13" t="s">
        <v>24</v>
      </c>
      <c r="B25" s="11" t="s">
        <v>53</v>
      </c>
      <c r="C25" s="6">
        <f>+[1]ต.ค.60!$D$28</f>
        <v>93185</v>
      </c>
      <c r="D25" s="6"/>
    </row>
    <row r="26" spans="1:4" ht="20.25" customHeight="1" x14ac:dyDescent="0.5">
      <c r="A26" s="13" t="s">
        <v>25</v>
      </c>
      <c r="B26" s="11" t="s">
        <v>54</v>
      </c>
      <c r="C26" s="6">
        <f>+[1]ต.ค.60!$D$29</f>
        <v>34850</v>
      </c>
      <c r="D26" s="6"/>
    </row>
    <row r="27" spans="1:4" ht="20.25" customHeight="1" x14ac:dyDescent="0.5">
      <c r="A27" s="13" t="s">
        <v>26</v>
      </c>
      <c r="B27" s="11" t="s">
        <v>55</v>
      </c>
      <c r="C27" s="6">
        <v>14856</v>
      </c>
      <c r="D27" s="6"/>
    </row>
    <row r="28" spans="1:4" ht="20.25" customHeight="1" x14ac:dyDescent="0.5">
      <c r="A28" s="13" t="s">
        <v>27</v>
      </c>
      <c r="B28" s="11" t="s">
        <v>56</v>
      </c>
      <c r="C28" s="6">
        <v>0</v>
      </c>
      <c r="D28" s="6"/>
    </row>
    <row r="29" spans="1:4" ht="20.25" customHeight="1" x14ac:dyDescent="0.5">
      <c r="A29" s="13" t="s">
        <v>28</v>
      </c>
      <c r="B29" s="11" t="s">
        <v>57</v>
      </c>
      <c r="C29" s="6">
        <f>+[1]ต.ค.60!$D$31</f>
        <v>27036.69</v>
      </c>
      <c r="D29" s="6"/>
    </row>
    <row r="30" spans="1:4" ht="20.25" customHeight="1" x14ac:dyDescent="0.5">
      <c r="A30" s="13" t="s">
        <v>29</v>
      </c>
      <c r="B30" s="11" t="s">
        <v>58</v>
      </c>
      <c r="C30" s="6">
        <v>0</v>
      </c>
      <c r="D30" s="6"/>
    </row>
    <row r="31" spans="1:4" ht="20.25" customHeight="1" x14ac:dyDescent="0.5">
      <c r="A31" s="13" t="s">
        <v>30</v>
      </c>
      <c r="B31" s="11" t="s">
        <v>59</v>
      </c>
      <c r="C31" s="6">
        <v>0</v>
      </c>
      <c r="D31" s="6"/>
    </row>
    <row r="32" spans="1:4" ht="20.25" customHeight="1" x14ac:dyDescent="0.5">
      <c r="A32" s="13" t="s">
        <v>31</v>
      </c>
      <c r="B32" s="11" t="s">
        <v>60</v>
      </c>
      <c r="C32" s="6">
        <v>0</v>
      </c>
      <c r="D32" s="6"/>
    </row>
    <row r="33" spans="1:6" ht="20.25" customHeight="1" x14ac:dyDescent="0.5">
      <c r="A33" s="13" t="s">
        <v>32</v>
      </c>
      <c r="B33" s="11" t="s">
        <v>61</v>
      </c>
      <c r="C33" s="6">
        <v>0</v>
      </c>
      <c r="D33" s="6"/>
    </row>
    <row r="34" spans="1:6" ht="20.25" hidden="1" customHeight="1" x14ac:dyDescent="0.5">
      <c r="A34" s="13" t="s">
        <v>70</v>
      </c>
      <c r="B34" s="11" t="s">
        <v>72</v>
      </c>
      <c r="C34" s="6">
        <v>0</v>
      </c>
      <c r="D34" s="6"/>
    </row>
    <row r="35" spans="1:6" ht="20.25" customHeight="1" x14ac:dyDescent="0.5">
      <c r="A35" s="13" t="s">
        <v>33</v>
      </c>
      <c r="B35" s="11" t="s">
        <v>63</v>
      </c>
      <c r="C35" s="6"/>
      <c r="D35" s="6">
        <v>5325601.43</v>
      </c>
    </row>
    <row r="36" spans="1:6" ht="20.25" hidden="1" customHeight="1" x14ac:dyDescent="0.5">
      <c r="A36" s="13" t="s">
        <v>34</v>
      </c>
      <c r="B36" s="11" t="s">
        <v>65</v>
      </c>
      <c r="C36" s="6"/>
      <c r="D36" s="6">
        <v>0</v>
      </c>
    </row>
    <row r="37" spans="1:6" ht="20.25" customHeight="1" x14ac:dyDescent="0.5">
      <c r="A37" s="13" t="s">
        <v>71</v>
      </c>
      <c r="B37" s="11" t="s">
        <v>64</v>
      </c>
      <c r="C37" s="6"/>
      <c r="D37" s="6">
        <f>8546403.54-41450</f>
        <v>8504953.5399999991</v>
      </c>
    </row>
    <row r="38" spans="1:6" ht="20.25" customHeight="1" x14ac:dyDescent="0.5">
      <c r="A38" s="13" t="s">
        <v>62</v>
      </c>
      <c r="B38" s="11" t="s">
        <v>66</v>
      </c>
      <c r="C38" s="6"/>
      <c r="D38" s="6">
        <f>2412756.89+24950+18894+230-12516.95-241700+498.6</f>
        <v>2203112.54</v>
      </c>
    </row>
    <row r="39" spans="1:6" ht="20.25" customHeight="1" x14ac:dyDescent="0.5">
      <c r="A39" s="13" t="s">
        <v>35</v>
      </c>
      <c r="B39" s="11" t="s">
        <v>67</v>
      </c>
      <c r="C39" s="6"/>
      <c r="D39" s="6">
        <v>22470</v>
      </c>
    </row>
    <row r="40" spans="1:6" ht="20.25" customHeight="1" x14ac:dyDescent="0.5">
      <c r="A40" s="13" t="s">
        <v>36</v>
      </c>
      <c r="B40" s="11" t="s">
        <v>68</v>
      </c>
      <c r="C40" s="6"/>
      <c r="D40" s="6">
        <v>6023507.7400000002</v>
      </c>
    </row>
    <row r="41" spans="1:6" ht="20.25" customHeight="1" x14ac:dyDescent="0.5">
      <c r="A41" s="13" t="s">
        <v>37</v>
      </c>
      <c r="B41" s="11" t="s">
        <v>69</v>
      </c>
      <c r="C41" s="6"/>
      <c r="D41" s="6">
        <v>5919458.6299999999</v>
      </c>
    </row>
    <row r="42" spans="1:6" ht="20.25" customHeight="1" x14ac:dyDescent="0.5">
      <c r="A42" s="14" t="s">
        <v>38</v>
      </c>
      <c r="B42" s="9"/>
      <c r="C42" s="8">
        <f>SUM(C6:C41)</f>
        <v>27999103.879999999</v>
      </c>
      <c r="D42" s="8">
        <f>SUM(D6:D41)</f>
        <v>27999103.879999999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2"/>
  <sheetViews>
    <sheetView tabSelected="1" zoomScaleNormal="100" zoomScaleSheetLayoutView="100" workbookViewId="0">
      <selection activeCell="F17" sqref="F17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7" width="9" style="1"/>
    <col min="8" max="8" width="12" style="18" customWidth="1"/>
    <col min="9" max="9" width="10.875" style="3" bestFit="1" customWidth="1"/>
    <col min="10" max="16384" width="9" style="1"/>
  </cols>
  <sheetData>
    <row r="1" spans="1:9" s="4" customFormat="1" ht="18" customHeight="1" x14ac:dyDescent="0.5">
      <c r="A1" s="24" t="s">
        <v>0</v>
      </c>
      <c r="B1" s="24"/>
      <c r="C1" s="24"/>
      <c r="D1" s="24"/>
      <c r="E1" s="5"/>
      <c r="F1" s="5"/>
      <c r="H1" s="16"/>
      <c r="I1" s="17"/>
    </row>
    <row r="2" spans="1:9" s="4" customFormat="1" ht="18" customHeight="1" x14ac:dyDescent="0.5">
      <c r="A2" s="24" t="s">
        <v>73</v>
      </c>
      <c r="B2" s="24"/>
      <c r="C2" s="24"/>
      <c r="D2" s="24"/>
      <c r="E2" s="5"/>
      <c r="F2" s="5"/>
      <c r="H2" s="16"/>
      <c r="I2" s="17"/>
    </row>
    <row r="3" spans="1:9" s="4" customFormat="1" ht="18" customHeight="1" x14ac:dyDescent="0.5">
      <c r="A3" s="24" t="s">
        <v>84</v>
      </c>
      <c r="B3" s="24"/>
      <c r="C3" s="24"/>
      <c r="D3" s="24"/>
      <c r="E3" s="5"/>
      <c r="F3" s="5"/>
      <c r="H3" s="16"/>
      <c r="I3" s="17"/>
    </row>
    <row r="5" spans="1:9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9" ht="18" customHeight="1" x14ac:dyDescent="0.5">
      <c r="A6" s="13" t="s">
        <v>5</v>
      </c>
      <c r="B6" s="11" t="s">
        <v>39</v>
      </c>
      <c r="C6" s="6">
        <f>+มิ.ย.60!C6+26256-26256</f>
        <v>0</v>
      </c>
      <c r="D6" s="6" t="s">
        <v>6</v>
      </c>
    </row>
    <row r="7" spans="1:9" ht="18" customHeight="1" x14ac:dyDescent="0.5">
      <c r="A7" s="13" t="s">
        <v>7</v>
      </c>
      <c r="B7" s="11" t="s">
        <v>76</v>
      </c>
      <c r="C7" s="6">
        <f>+มิ.ย.60!C7</f>
        <v>4989770</v>
      </c>
      <c r="D7" s="6"/>
    </row>
    <row r="8" spans="1:9" ht="18" customHeight="1" x14ac:dyDescent="0.5">
      <c r="A8" s="13" t="s">
        <v>8</v>
      </c>
      <c r="B8" s="11" t="s">
        <v>40</v>
      </c>
      <c r="C8" s="6">
        <f>+มิ.ย.60!C8+3062986.34-820849</f>
        <v>14068490.649999997</v>
      </c>
      <c r="D8" s="6"/>
      <c r="F8" s="2">
        <v>15117375.529999999</v>
      </c>
      <c r="H8" s="19">
        <f>+F8-C8</f>
        <v>1048884.8800000027</v>
      </c>
    </row>
    <row r="9" spans="1:9" ht="18" customHeight="1" x14ac:dyDescent="0.5">
      <c r="A9" s="13" t="s">
        <v>9</v>
      </c>
      <c r="B9" s="11" t="s">
        <v>40</v>
      </c>
      <c r="C9" s="6">
        <f>+มิ.ย.60!C9+673.35</f>
        <v>181721.75999999998</v>
      </c>
      <c r="D9" s="6" t="s">
        <v>6</v>
      </c>
      <c r="H9" s="18">
        <v>574887.79</v>
      </c>
    </row>
    <row r="10" spans="1:9" ht="18" customHeight="1" x14ac:dyDescent="0.5">
      <c r="A10" s="13" t="s">
        <v>10</v>
      </c>
      <c r="B10" s="11" t="s">
        <v>40</v>
      </c>
      <c r="C10" s="6">
        <f>+มิ.ย.60!C10+7606-1344528.36</f>
        <v>1178251.1999999995</v>
      </c>
      <c r="D10" s="6"/>
    </row>
    <row r="11" spans="1:9" ht="18" customHeight="1" x14ac:dyDescent="0.5">
      <c r="A11" s="13" t="s">
        <v>11</v>
      </c>
      <c r="B11" s="11" t="s">
        <v>40</v>
      </c>
      <c r="C11" s="6">
        <f>+มิ.ย.60!C11+11600</f>
        <v>517631.41</v>
      </c>
      <c r="D11" s="6"/>
      <c r="H11" s="19">
        <f>+H8-H9</f>
        <v>473997.09000000264</v>
      </c>
    </row>
    <row r="12" spans="1:9" ht="18" customHeight="1" x14ac:dyDescent="0.5">
      <c r="A12" s="13" t="s">
        <v>12</v>
      </c>
      <c r="B12" s="11" t="s">
        <v>40</v>
      </c>
      <c r="C12" s="6">
        <f>+มิ.ย.60!C12</f>
        <v>17324.149999999998</v>
      </c>
      <c r="D12" s="6"/>
    </row>
    <row r="13" spans="1:9" ht="18" customHeight="1" x14ac:dyDescent="0.5">
      <c r="A13" s="13" t="s">
        <v>13</v>
      </c>
      <c r="B13" s="11" t="s">
        <v>41</v>
      </c>
      <c r="C13" s="6">
        <f>+มิ.ย.60!C13+1357.82</f>
        <v>305257.28999999998</v>
      </c>
      <c r="D13" s="6"/>
    </row>
    <row r="14" spans="1:9" ht="18" customHeight="1" x14ac:dyDescent="0.5">
      <c r="A14" s="13" t="s">
        <v>14</v>
      </c>
      <c r="B14" s="11" t="s">
        <v>41</v>
      </c>
      <c r="C14" s="6">
        <f>+มิ.ย.60!C14+4209.58</f>
        <v>2035267.0500000003</v>
      </c>
      <c r="D14" s="6"/>
      <c r="F14" s="2">
        <f>SUM(C8:C14)</f>
        <v>18303943.509999994</v>
      </c>
    </row>
    <row r="15" spans="1:9" ht="18" customHeight="1" x14ac:dyDescent="0.5">
      <c r="A15" s="13" t="s">
        <v>15</v>
      </c>
      <c r="B15" s="11" t="s">
        <v>42</v>
      </c>
      <c r="C15" s="6">
        <f>+มิ.ย.60!C15</f>
        <v>0</v>
      </c>
      <c r="D15" s="6"/>
    </row>
    <row r="16" spans="1:9" ht="18" customHeight="1" x14ac:dyDescent="0.5">
      <c r="A16" s="13" t="s">
        <v>43</v>
      </c>
      <c r="B16" s="11" t="s">
        <v>44</v>
      </c>
      <c r="C16" s="6">
        <f>+มิ.ย.60!C16-7785+632647-6236-9300-44174-5933-576800</f>
        <v>127636</v>
      </c>
      <c r="D16" s="6"/>
      <c r="F16" s="2">
        <v>642443</v>
      </c>
    </row>
    <row r="17" spans="1:4" ht="18" customHeight="1" x14ac:dyDescent="0.5">
      <c r="A17" s="13" t="s">
        <v>16</v>
      </c>
      <c r="B17" s="11" t="s">
        <v>45</v>
      </c>
      <c r="C17" s="6">
        <f>+มิ.ย.60!C17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+มิ.ย.60!C18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+มิ.ย.60!C19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+มิ.ย.60!C20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+มิ.ย.60!C21+6500+576800</f>
        <v>6553148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+มิ.ย.60!C22+214260</f>
        <v>2142600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+มิ.ย.60!C23+373580</f>
        <v>3752908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+มิ.ย.60!C24+44865</f>
        <v>446110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+มิ.ย.60!C25+107945</f>
        <v>1080125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+มิ.ย.60!C26+25750</f>
        <v>284340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+มิ.ย.60!C27+127370+6236+9300+44174+5933</f>
        <v>2433446.69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+มิ.ย.60!C28+62229.8</f>
        <v>895348.6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+มิ.ย.60!C29</f>
        <v>250737.95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+มิ.ย.60!C30+285260</f>
        <v>394440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+มิ.ย.60!C31</f>
        <v>961000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+มิ.ย.60!C32</f>
        <v>0</v>
      </c>
      <c r="D32" s="6"/>
    </row>
    <row r="33" spans="1:9" ht="18" customHeight="1" x14ac:dyDescent="0.5">
      <c r="A33" s="13" t="s">
        <v>32</v>
      </c>
      <c r="B33" s="11" t="s">
        <v>61</v>
      </c>
      <c r="C33" s="6">
        <f>+มิ.ย.60!C33+133960</f>
        <v>1168560</v>
      </c>
      <c r="D33" s="6"/>
      <c r="F33" s="2">
        <f>SUM(C21:C33)</f>
        <v>20362764.239999998</v>
      </c>
      <c r="H33" s="18" t="s">
        <v>85</v>
      </c>
      <c r="I33" s="3">
        <f>485100+90400+500</f>
        <v>576000</v>
      </c>
    </row>
    <row r="34" spans="1:9" ht="18" customHeight="1" x14ac:dyDescent="0.5">
      <c r="A34" s="13" t="s">
        <v>70</v>
      </c>
      <c r="B34" s="11" t="s">
        <v>72</v>
      </c>
      <c r="C34" s="6">
        <f>+มิ.ย.60!C34</f>
        <v>0</v>
      </c>
      <c r="D34" s="6"/>
      <c r="I34" s="3">
        <v>576000</v>
      </c>
    </row>
    <row r="35" spans="1:9" ht="18" customHeight="1" x14ac:dyDescent="0.5">
      <c r="A35" s="13" t="s">
        <v>33</v>
      </c>
      <c r="B35" s="11" t="s">
        <v>63</v>
      </c>
      <c r="C35" s="6"/>
      <c r="D35" s="6">
        <f>+มิ.ย.60!D35+3061593.09</f>
        <v>24569587.259999998</v>
      </c>
      <c r="F35" s="2">
        <f>+D35-F33</f>
        <v>4206823.0199999996</v>
      </c>
      <c r="I35" s="3">
        <v>1024677.8</v>
      </c>
    </row>
    <row r="36" spans="1:9" ht="18" customHeight="1" x14ac:dyDescent="0.5">
      <c r="A36" s="13" t="s">
        <v>34</v>
      </c>
      <c r="B36" s="11" t="s">
        <v>65</v>
      </c>
      <c r="C36" s="6"/>
      <c r="D36" s="6">
        <f>+มิ.ย.60!D36</f>
        <v>2600</v>
      </c>
    </row>
    <row r="37" spans="1:9" ht="18" customHeight="1" x14ac:dyDescent="0.5">
      <c r="A37" s="13" t="s">
        <v>71</v>
      </c>
      <c r="B37" s="11" t="s">
        <v>64</v>
      </c>
      <c r="C37" s="6"/>
      <c r="D37" s="6">
        <f>+มิ.ย.60!D37-160000</f>
        <v>5395434.9999999991</v>
      </c>
      <c r="F37" s="2">
        <v>2176677.7999999998</v>
      </c>
      <c r="I37" s="3">
        <f>SUM(I33:I36)</f>
        <v>2176677.7999999998</v>
      </c>
    </row>
    <row r="38" spans="1:9" ht="18" customHeight="1" x14ac:dyDescent="0.5">
      <c r="A38" s="13" t="s">
        <v>62</v>
      </c>
      <c r="B38" s="11" t="s">
        <v>66</v>
      </c>
      <c r="C38" s="6"/>
      <c r="D38" s="6">
        <f>+มิ.ย.60!D38+6800+11600+655-2559.18+6150.62+5398</f>
        <v>2401474.0499999998</v>
      </c>
    </row>
    <row r="39" spans="1:9" ht="18" customHeight="1" x14ac:dyDescent="0.5">
      <c r="A39" s="13" t="s">
        <v>35</v>
      </c>
      <c r="B39" s="11" t="s">
        <v>67</v>
      </c>
      <c r="C39" s="6"/>
      <c r="D39" s="6">
        <f>+มิ.ย.60!D39</f>
        <v>22470</v>
      </c>
      <c r="F39" s="2">
        <f>+F35-F37</f>
        <v>2030145.2199999997</v>
      </c>
    </row>
    <row r="40" spans="1:9" ht="18" customHeight="1" x14ac:dyDescent="0.5">
      <c r="A40" s="13" t="s">
        <v>36</v>
      </c>
      <c r="B40" s="11" t="s">
        <v>68</v>
      </c>
      <c r="C40" s="6"/>
      <c r="D40" s="6">
        <f>+มิ.ย.60!D40</f>
        <v>5534720.3500000006</v>
      </c>
    </row>
    <row r="41" spans="1:9" ht="18" customHeight="1" x14ac:dyDescent="0.5">
      <c r="A41" s="13" t="s">
        <v>37</v>
      </c>
      <c r="B41" s="11" t="s">
        <v>69</v>
      </c>
      <c r="C41" s="6"/>
      <c r="D41" s="6">
        <f>+มิ.ย.60!D41</f>
        <v>5919458.6299999999</v>
      </c>
    </row>
    <row r="42" spans="1:9" ht="18" customHeight="1" x14ac:dyDescent="0.5">
      <c r="A42" s="14" t="s">
        <v>38</v>
      </c>
      <c r="B42" s="9"/>
      <c r="C42" s="8">
        <f>SUM(C6:C41)</f>
        <v>43845745.289999999</v>
      </c>
      <c r="D42" s="8">
        <f>SUM(D6:D41)</f>
        <v>43845745.289999999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2"/>
  <sheetViews>
    <sheetView topLeftCell="A10" zoomScaleNormal="100" zoomScaleSheetLayoutView="100" workbookViewId="0">
      <selection activeCell="F17" sqref="F17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7" width="9" style="1"/>
    <col min="8" max="8" width="12" style="18" customWidth="1"/>
    <col min="9" max="9" width="10.875" style="3" bestFit="1" customWidth="1"/>
    <col min="10" max="16384" width="9" style="1"/>
  </cols>
  <sheetData>
    <row r="1" spans="1:9" s="4" customFormat="1" ht="18" customHeight="1" x14ac:dyDescent="0.5">
      <c r="A1" s="24" t="s">
        <v>0</v>
      </c>
      <c r="B1" s="24"/>
      <c r="C1" s="24"/>
      <c r="D1" s="24"/>
      <c r="E1" s="5"/>
      <c r="F1" s="5"/>
      <c r="H1" s="20"/>
      <c r="I1" s="17"/>
    </row>
    <row r="2" spans="1:9" s="4" customFormat="1" ht="18" customHeight="1" x14ac:dyDescent="0.5">
      <c r="A2" s="24" t="s">
        <v>73</v>
      </c>
      <c r="B2" s="24"/>
      <c r="C2" s="24"/>
      <c r="D2" s="24"/>
      <c r="E2" s="5"/>
      <c r="F2" s="5"/>
      <c r="H2" s="20"/>
      <c r="I2" s="17"/>
    </row>
    <row r="3" spans="1:9" s="4" customFormat="1" ht="18" customHeight="1" x14ac:dyDescent="0.5">
      <c r="A3" s="24" t="s">
        <v>86</v>
      </c>
      <c r="B3" s="24"/>
      <c r="C3" s="24"/>
      <c r="D3" s="24"/>
      <c r="E3" s="5"/>
      <c r="F3" s="5"/>
      <c r="H3" s="20"/>
      <c r="I3" s="17"/>
    </row>
    <row r="5" spans="1:9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9" ht="18" customHeight="1" x14ac:dyDescent="0.5">
      <c r="A6" s="13" t="s">
        <v>5</v>
      </c>
      <c r="B6" s="11" t="s">
        <v>39</v>
      </c>
      <c r="C6" s="6">
        <f>+ก.ค.60!C6+38462-38462</f>
        <v>0</v>
      </c>
      <c r="D6" s="6" t="s">
        <v>6</v>
      </c>
    </row>
    <row r="7" spans="1:9" ht="18" customHeight="1" x14ac:dyDescent="0.5">
      <c r="A7" s="13" t="s">
        <v>7</v>
      </c>
      <c r="B7" s="11" t="s">
        <v>76</v>
      </c>
      <c r="C7" s="6">
        <f>+ก.ค.60!C7</f>
        <v>4989770</v>
      </c>
      <c r="D7" s="6"/>
    </row>
    <row r="8" spans="1:9" ht="18" customHeight="1" x14ac:dyDescent="0.5">
      <c r="A8" s="13" t="s">
        <v>8</v>
      </c>
      <c r="B8" s="11" t="s">
        <v>40</v>
      </c>
      <c r="C8" s="6">
        <f>+ก.ค.60!C8+1249759.42-1088496-5216264.48</f>
        <v>9013489.5899999961</v>
      </c>
      <c r="D8" s="6"/>
      <c r="F8" s="2">
        <v>15117375.529999999</v>
      </c>
      <c r="H8" s="19">
        <f>+F8-C8</f>
        <v>6103885.9400000032</v>
      </c>
    </row>
    <row r="9" spans="1:9" ht="18" customHeight="1" x14ac:dyDescent="0.5">
      <c r="A9" s="13" t="s">
        <v>9</v>
      </c>
      <c r="B9" s="11" t="s">
        <v>40</v>
      </c>
      <c r="C9" s="6">
        <f>+ก.ค.60!C9</f>
        <v>181721.75999999998</v>
      </c>
      <c r="D9" s="6" t="s">
        <v>6</v>
      </c>
      <c r="H9" s="18">
        <v>574887.79</v>
      </c>
    </row>
    <row r="10" spans="1:9" ht="18" customHeight="1" x14ac:dyDescent="0.5">
      <c r="A10" s="13" t="s">
        <v>10</v>
      </c>
      <c r="B10" s="11" t="s">
        <v>40</v>
      </c>
      <c r="C10" s="6">
        <f>+ก.ค.60!C10+17002-1514648.11+5216264.48</f>
        <v>4896869.57</v>
      </c>
      <c r="D10" s="6"/>
    </row>
    <row r="11" spans="1:9" ht="18" customHeight="1" x14ac:dyDescent="0.5">
      <c r="A11" s="13" t="s">
        <v>11</v>
      </c>
      <c r="B11" s="11" t="s">
        <v>40</v>
      </c>
      <c r="C11" s="6">
        <f>+ก.ค.60!C11+21460</f>
        <v>539091.40999999992</v>
      </c>
      <c r="D11" s="6"/>
      <c r="H11" s="19">
        <f>+H8-H9</f>
        <v>5528998.1500000032</v>
      </c>
    </row>
    <row r="12" spans="1:9" ht="18" customHeight="1" x14ac:dyDescent="0.5">
      <c r="A12" s="13" t="s">
        <v>12</v>
      </c>
      <c r="B12" s="11" t="s">
        <v>40</v>
      </c>
      <c r="C12" s="6">
        <f>+ก.ค.60!C12</f>
        <v>17324.149999999998</v>
      </c>
      <c r="D12" s="6"/>
    </row>
    <row r="13" spans="1:9" ht="18" customHeight="1" x14ac:dyDescent="0.5">
      <c r="A13" s="13" t="s">
        <v>13</v>
      </c>
      <c r="B13" s="11" t="s">
        <v>41</v>
      </c>
      <c r="C13" s="6">
        <f>+ก.ค.60!C13</f>
        <v>305257.28999999998</v>
      </c>
      <c r="D13" s="6"/>
    </row>
    <row r="14" spans="1:9" ht="18" customHeight="1" x14ac:dyDescent="0.5">
      <c r="A14" s="13" t="s">
        <v>14</v>
      </c>
      <c r="B14" s="11" t="s">
        <v>41</v>
      </c>
      <c r="C14" s="6">
        <f>+ก.ค.60!C14</f>
        <v>2035267.0500000003</v>
      </c>
      <c r="D14" s="6"/>
      <c r="F14" s="2">
        <f>SUM(C8:C14)</f>
        <v>16989020.819999997</v>
      </c>
    </row>
    <row r="15" spans="1:9" ht="18" customHeight="1" x14ac:dyDescent="0.5">
      <c r="A15" s="13" t="s">
        <v>15</v>
      </c>
      <c r="B15" s="11" t="s">
        <v>42</v>
      </c>
      <c r="C15" s="6">
        <f>+ก.ค.60!C15</f>
        <v>0</v>
      </c>
      <c r="D15" s="6"/>
    </row>
    <row r="16" spans="1:9" ht="18" customHeight="1" x14ac:dyDescent="0.5">
      <c r="A16" s="13" t="s">
        <v>43</v>
      </c>
      <c r="B16" s="11" t="s">
        <v>44</v>
      </c>
      <c r="C16" s="6">
        <f>+ก.ค.60!C16-1800+901169-10064-6113-258900</f>
        <v>751928</v>
      </c>
      <c r="D16" s="6"/>
      <c r="F16" s="2">
        <v>275077</v>
      </c>
    </row>
    <row r="17" spans="1:4" ht="18" customHeight="1" x14ac:dyDescent="0.5">
      <c r="A17" s="13" t="s">
        <v>16</v>
      </c>
      <c r="B17" s="11" t="s">
        <v>45</v>
      </c>
      <c r="C17" s="6">
        <f>+ก.ค.60!C17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+ก.ค.60!C18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+ก.ค.60!C19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+ก.ค.60!C20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+ก.ค.60!C21+10796+4900+1600</f>
        <v>6570444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+ก.ค.60!C22+214260</f>
        <v>2356860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+ก.ค.60!C23+373580</f>
        <v>4126488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+ก.ค.60!C24+44865</f>
        <v>490975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+ก.ค.60!C25+107945</f>
        <v>1188070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+ก.ค.60!C26+25200</f>
        <v>309540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+ก.ค.60!C27+337780+10064+6113+258900</f>
        <v>3046303.69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+ก.ค.60!C28+102987.22</f>
        <v>998335.82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+ก.ค.60!C29+35798.31</f>
        <v>286536.26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+ก.ค.60!C30</f>
        <v>394440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+ก.ค.60!C31</f>
        <v>961000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+ก.ค.60!C32</f>
        <v>0</v>
      </c>
      <c r="D32" s="6"/>
    </row>
    <row r="33" spans="1:9" ht="18" customHeight="1" x14ac:dyDescent="0.5">
      <c r="A33" s="13" t="s">
        <v>32</v>
      </c>
      <c r="B33" s="11" t="s">
        <v>61</v>
      </c>
      <c r="C33" s="6">
        <f>+ก.ค.60!C33+433440</f>
        <v>1602000</v>
      </c>
      <c r="D33" s="6"/>
      <c r="F33" s="2">
        <f>SUM(C21:C33)</f>
        <v>22330992.770000003</v>
      </c>
      <c r="H33" s="18" t="s">
        <v>85</v>
      </c>
      <c r="I33" s="3">
        <f>485100+90400+500</f>
        <v>576000</v>
      </c>
    </row>
    <row r="34" spans="1:9" ht="18" customHeight="1" x14ac:dyDescent="0.5">
      <c r="A34" s="13" t="s">
        <v>70</v>
      </c>
      <c r="B34" s="11" t="s">
        <v>72</v>
      </c>
      <c r="C34" s="6">
        <f>+ก.ค.60!C34</f>
        <v>0</v>
      </c>
      <c r="D34" s="6"/>
      <c r="I34" s="3">
        <v>576000</v>
      </c>
    </row>
    <row r="35" spans="1:9" ht="18" customHeight="1" x14ac:dyDescent="0.5">
      <c r="A35" s="13" t="s">
        <v>33</v>
      </c>
      <c r="B35" s="11" t="s">
        <v>63</v>
      </c>
      <c r="C35" s="6"/>
      <c r="D35" s="6">
        <f>+ก.ค.60!D35+1256611.42</f>
        <v>25826198.68</v>
      </c>
      <c r="F35" s="2">
        <f>+D35-F33</f>
        <v>3495205.9099999964</v>
      </c>
      <c r="I35" s="3">
        <v>1024677.8</v>
      </c>
    </row>
    <row r="36" spans="1:9" ht="18" customHeight="1" x14ac:dyDescent="0.5">
      <c r="A36" s="13" t="s">
        <v>34</v>
      </c>
      <c r="B36" s="11" t="s">
        <v>65</v>
      </c>
      <c r="C36" s="6"/>
      <c r="D36" s="6">
        <f>+ก.ค.60!D36</f>
        <v>2600</v>
      </c>
    </row>
    <row r="37" spans="1:9" ht="18" customHeight="1" x14ac:dyDescent="0.5">
      <c r="A37" s="13" t="s">
        <v>71</v>
      </c>
      <c r="B37" s="11" t="s">
        <v>64</v>
      </c>
      <c r="C37" s="6"/>
      <c r="D37" s="6">
        <f>+ก.ค.60!D37</f>
        <v>5395434.9999999991</v>
      </c>
      <c r="F37" s="2">
        <v>2176677.7999999998</v>
      </c>
      <c r="I37" s="3">
        <f>SUM(I33:I36)</f>
        <v>2176677.7999999998</v>
      </c>
    </row>
    <row r="38" spans="1:9" ht="18" customHeight="1" x14ac:dyDescent="0.5">
      <c r="A38" s="13" t="s">
        <v>62</v>
      </c>
      <c r="B38" s="11" t="s">
        <v>66</v>
      </c>
      <c r="C38" s="6"/>
      <c r="D38" s="6">
        <f>+ก.ค.60!D38+8350+21460-6150.62-10796-655+3380.04+5398</f>
        <v>2422460.4699999997</v>
      </c>
    </row>
    <row r="39" spans="1:9" ht="18" customHeight="1" x14ac:dyDescent="0.5">
      <c r="A39" s="13" t="s">
        <v>35</v>
      </c>
      <c r="B39" s="11" t="s">
        <v>67</v>
      </c>
      <c r="C39" s="6"/>
      <c r="D39" s="6">
        <f>+ก.ค.60!D39</f>
        <v>22470</v>
      </c>
      <c r="F39" s="2">
        <f>+F35-F37</f>
        <v>1318528.1099999966</v>
      </c>
    </row>
    <row r="40" spans="1:9" ht="18" customHeight="1" x14ac:dyDescent="0.5">
      <c r="A40" s="13" t="s">
        <v>36</v>
      </c>
      <c r="B40" s="11" t="s">
        <v>68</v>
      </c>
      <c r="C40" s="6"/>
      <c r="D40" s="6">
        <f>+ก.ค.60!D40</f>
        <v>5534720.3500000006</v>
      </c>
    </row>
    <row r="41" spans="1:9" ht="18" customHeight="1" x14ac:dyDescent="0.5">
      <c r="A41" s="13" t="s">
        <v>37</v>
      </c>
      <c r="B41" s="11" t="s">
        <v>69</v>
      </c>
      <c r="C41" s="6"/>
      <c r="D41" s="6">
        <f>+ก.ค.60!D41</f>
        <v>5919458.6299999999</v>
      </c>
    </row>
    <row r="42" spans="1:9" ht="18" customHeight="1" x14ac:dyDescent="0.5">
      <c r="A42" s="14" t="s">
        <v>38</v>
      </c>
      <c r="B42" s="9"/>
      <c r="C42" s="8">
        <f>SUM(C6:C41)</f>
        <v>45123343.129999988</v>
      </c>
      <c r="D42" s="8">
        <f>SUM(D6:D41)</f>
        <v>45123343.130000003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topLeftCell="A25" zoomScaleNormal="100" zoomScaleSheetLayoutView="100" workbookViewId="0">
      <selection activeCell="C37" sqref="C37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3" customWidth="1"/>
    <col min="5" max="5" width="9" style="2"/>
    <col min="6" max="6" width="12.75" style="2" customWidth="1"/>
    <col min="7" max="7" width="13.5" style="1" customWidth="1"/>
    <col min="8" max="8" width="12" style="18" customWidth="1"/>
    <col min="9" max="9" width="10.875" style="3" bestFit="1" customWidth="1"/>
    <col min="10" max="16384" width="9" style="1"/>
  </cols>
  <sheetData>
    <row r="1" spans="1:9" s="4" customFormat="1" ht="18" customHeight="1" x14ac:dyDescent="0.5">
      <c r="A1" s="24" t="s">
        <v>0</v>
      </c>
      <c r="B1" s="24"/>
      <c r="C1" s="24"/>
      <c r="D1" s="24"/>
      <c r="E1" s="5"/>
      <c r="F1" s="5"/>
      <c r="H1" s="21"/>
      <c r="I1" s="17"/>
    </row>
    <row r="2" spans="1:9" s="4" customFormat="1" ht="18" customHeight="1" x14ac:dyDescent="0.5">
      <c r="A2" s="24" t="s">
        <v>73</v>
      </c>
      <c r="B2" s="24"/>
      <c r="C2" s="24"/>
      <c r="D2" s="24"/>
      <c r="E2" s="5"/>
      <c r="F2" s="5"/>
      <c r="H2" s="21"/>
      <c r="I2" s="17"/>
    </row>
    <row r="3" spans="1:9" s="4" customFormat="1" ht="18" customHeight="1" x14ac:dyDescent="0.5">
      <c r="A3" s="24" t="s">
        <v>87</v>
      </c>
      <c r="B3" s="24"/>
      <c r="C3" s="24"/>
      <c r="D3" s="24"/>
      <c r="E3" s="5"/>
      <c r="F3" s="5"/>
      <c r="H3" s="21"/>
      <c r="I3" s="17"/>
    </row>
    <row r="5" spans="1:9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9" ht="18" customHeight="1" x14ac:dyDescent="0.5">
      <c r="A6" s="13" t="s">
        <v>5</v>
      </c>
      <c r="B6" s="11" t="s">
        <v>39</v>
      </c>
      <c r="C6" s="6">
        <f>+ส.ค.60!C6+7802-7802</f>
        <v>0</v>
      </c>
      <c r="D6" s="6" t="s">
        <v>6</v>
      </c>
    </row>
    <row r="7" spans="1:9" ht="18" customHeight="1" x14ac:dyDescent="0.5">
      <c r="A7" s="13" t="s">
        <v>7</v>
      </c>
      <c r="B7" s="11" t="s">
        <v>76</v>
      </c>
      <c r="C7" s="6">
        <f>+ส.ค.60!C7-4964100-3200-22470</f>
        <v>0</v>
      </c>
      <c r="D7" s="6"/>
    </row>
    <row r="8" spans="1:9" ht="18" customHeight="1" x14ac:dyDescent="0.5">
      <c r="A8" s="13" t="s">
        <v>8</v>
      </c>
      <c r="B8" s="11" t="s">
        <v>40</v>
      </c>
      <c r="C8" s="23">
        <f>+ส.ค.60!C8+2070050.44-796644</f>
        <v>10286896.029999996</v>
      </c>
      <c r="D8" s="6"/>
      <c r="H8" s="19"/>
    </row>
    <row r="9" spans="1:9" ht="18" customHeight="1" x14ac:dyDescent="0.5">
      <c r="A9" s="13" t="s">
        <v>9</v>
      </c>
      <c r="B9" s="11" t="s">
        <v>40</v>
      </c>
      <c r="C9" s="23">
        <f>+ส.ค.60!C9</f>
        <v>181721.75999999998</v>
      </c>
      <c r="D9" s="6" t="s">
        <v>6</v>
      </c>
    </row>
    <row r="10" spans="1:9" ht="18" customHeight="1" x14ac:dyDescent="0.5">
      <c r="A10" s="13" t="s">
        <v>10</v>
      </c>
      <c r="B10" s="11" t="s">
        <v>40</v>
      </c>
      <c r="C10" s="6">
        <f>+ส.ค.60!C10+13867.57-1541238.83</f>
        <v>3369498.3100000005</v>
      </c>
      <c r="D10" s="6"/>
    </row>
    <row r="11" spans="1:9" ht="18" customHeight="1" x14ac:dyDescent="0.5">
      <c r="A11" s="13" t="s">
        <v>11</v>
      </c>
      <c r="B11" s="11" t="s">
        <v>40</v>
      </c>
      <c r="C11" s="23">
        <f>+ส.ค.60!C11+1018.79</f>
        <v>540110.19999999995</v>
      </c>
      <c r="D11" s="6"/>
      <c r="H11" s="19"/>
    </row>
    <row r="12" spans="1:9" ht="18" customHeight="1" x14ac:dyDescent="0.5">
      <c r="A12" s="13" t="s">
        <v>12</v>
      </c>
      <c r="B12" s="11" t="s">
        <v>40</v>
      </c>
      <c r="C12" s="23">
        <f>+ส.ค.60!C12</f>
        <v>17324.149999999998</v>
      </c>
      <c r="D12" s="6"/>
    </row>
    <row r="13" spans="1:9" ht="18" customHeight="1" x14ac:dyDescent="0.5">
      <c r="A13" s="13" t="s">
        <v>13</v>
      </c>
      <c r="B13" s="11" t="s">
        <v>41</v>
      </c>
      <c r="C13" s="23">
        <f>+ส.ค.60!C13</f>
        <v>305257.28999999998</v>
      </c>
      <c r="D13" s="6"/>
    </row>
    <row r="14" spans="1:9" ht="18" customHeight="1" x14ac:dyDescent="0.5">
      <c r="A14" s="13" t="s">
        <v>14</v>
      </c>
      <c r="B14" s="11" t="s">
        <v>41</v>
      </c>
      <c r="C14" s="23">
        <f>+ส.ค.60!C14</f>
        <v>2035267.0500000003</v>
      </c>
      <c r="D14" s="6"/>
    </row>
    <row r="15" spans="1:9" ht="18" customHeight="1" x14ac:dyDescent="0.5">
      <c r="A15" s="13" t="s">
        <v>15</v>
      </c>
      <c r="B15" s="11" t="s">
        <v>42</v>
      </c>
      <c r="C15" s="6">
        <f>+ส.ค.60!C15</f>
        <v>0</v>
      </c>
      <c r="D15" s="6"/>
    </row>
    <row r="16" spans="1:9" ht="18" customHeight="1" x14ac:dyDescent="0.5">
      <c r="A16" s="13" t="s">
        <v>43</v>
      </c>
      <c r="B16" s="11" t="s">
        <v>44</v>
      </c>
      <c r="C16" s="6">
        <f>+ส.ค.60!C16+604696-576000-58356-22686-576300-5710-92000-29332+3760</f>
        <v>0</v>
      </c>
      <c r="D16" s="6"/>
      <c r="G16" s="3"/>
    </row>
    <row r="17" spans="1:4" ht="18" customHeight="1" x14ac:dyDescent="0.5">
      <c r="A17" s="13" t="s">
        <v>16</v>
      </c>
      <c r="B17" s="11" t="s">
        <v>45</v>
      </c>
      <c r="C17" s="6">
        <f>+ส.ค.60!C17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+ส.ค.60!C18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+ส.ค.60!C19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+ส.ค.60!C20-22470</f>
        <v>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+ส.ค.60!C21+5398+4900+1600+576000+576300</f>
        <v>7734642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+ส.ค.60!C22+214260</f>
        <v>2571120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+ส.ค.60!C23+373580</f>
        <v>4500068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+ส.ค.60!C24+44865</f>
        <v>535840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+ส.ค.60!C25+107945</f>
        <v>1296015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+ส.ค.60!C26+48100+523300</f>
        <v>880940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+ส.ค.60!C27+253230+58356+22686+5710+112550+27000+29332-3760</f>
        <v>3551407.69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+ส.ค.60!C28+235869.88+127214.64</f>
        <v>1361420.3399999999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+ส.ค.60!C29+55389.58</f>
        <v>341925.84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+ส.ค.60!C30+161000</f>
        <v>555440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+ส.ค.60!C31+100000+92000</f>
        <v>1153000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+ส.ค.60!C32+18000</f>
        <v>18000</v>
      </c>
      <c r="D32" s="6"/>
    </row>
    <row r="33" spans="1:8" ht="18" customHeight="1" x14ac:dyDescent="0.5">
      <c r="A33" s="13" t="s">
        <v>32</v>
      </c>
      <c r="B33" s="11" t="s">
        <v>61</v>
      </c>
      <c r="C33" s="6">
        <f>+ส.ค.60!C33+50000</f>
        <v>1652000</v>
      </c>
      <c r="D33" s="6"/>
      <c r="F33" s="2">
        <f>SUM(C21:C33)</f>
        <v>26151818.870000001</v>
      </c>
    </row>
    <row r="34" spans="1:8" ht="18" customHeight="1" x14ac:dyDescent="0.5">
      <c r="A34" s="13" t="s">
        <v>70</v>
      </c>
      <c r="B34" s="11" t="s">
        <v>72</v>
      </c>
      <c r="C34" s="6">
        <f>+ส.ค.60!C34</f>
        <v>0</v>
      </c>
      <c r="D34" s="6"/>
    </row>
    <row r="35" spans="1:8" ht="18" customHeight="1" x14ac:dyDescent="0.5">
      <c r="A35" s="13" t="s">
        <v>33</v>
      </c>
      <c r="B35" s="11" t="s">
        <v>63</v>
      </c>
      <c r="C35" s="6"/>
      <c r="D35" s="6">
        <f>+ส.ค.60!D35+2084736.8-22470+2600</f>
        <v>27891065.48</v>
      </c>
      <c r="G35" s="3">
        <f>+D35-F33</f>
        <v>1739246.6099999994</v>
      </c>
      <c r="H35" s="19"/>
    </row>
    <row r="36" spans="1:8" ht="18" customHeight="1" x14ac:dyDescent="0.5">
      <c r="A36" s="13" t="s">
        <v>34</v>
      </c>
      <c r="B36" s="11" t="s">
        <v>65</v>
      </c>
      <c r="C36" s="6"/>
      <c r="D36" s="6">
        <f>+ส.ค.60!D36-2600</f>
        <v>0</v>
      </c>
    </row>
    <row r="37" spans="1:8" ht="18" customHeight="1" x14ac:dyDescent="0.5">
      <c r="A37" s="13" t="s">
        <v>71</v>
      </c>
      <c r="B37" s="11" t="s">
        <v>64</v>
      </c>
      <c r="C37" s="6"/>
      <c r="D37" s="6">
        <f>+ส.ค.60!D37-[2]ก.ย.!$D$38+1069064.64-4964100-3200</f>
        <v>1194199.6399999987</v>
      </c>
    </row>
    <row r="38" spans="1:8" ht="18" customHeight="1" x14ac:dyDescent="0.5">
      <c r="A38" s="13" t="s">
        <v>62</v>
      </c>
      <c r="B38" s="11" t="s">
        <v>66</v>
      </c>
      <c r="C38" s="6"/>
      <c r="D38" s="6">
        <f>+ส.ค.60!D38+[3]ก.ย.!$E$27-[3]ก.ย.!$G$27</f>
        <v>2387611.0999999996</v>
      </c>
    </row>
    <row r="39" spans="1:8" ht="18" customHeight="1" x14ac:dyDescent="0.5">
      <c r="A39" s="13" t="s">
        <v>35</v>
      </c>
      <c r="B39" s="11" t="s">
        <v>67</v>
      </c>
      <c r="C39" s="6"/>
      <c r="D39" s="6">
        <f>+ส.ค.60!D39-22470</f>
        <v>0</v>
      </c>
    </row>
    <row r="40" spans="1:8" ht="18" customHeight="1" x14ac:dyDescent="0.5">
      <c r="A40" s="13" t="s">
        <v>36</v>
      </c>
      <c r="B40" s="11" t="s">
        <v>68</v>
      </c>
      <c r="C40" s="6"/>
      <c r="D40" s="6">
        <f>+ส.ค.60!D40</f>
        <v>5534720.3500000006</v>
      </c>
      <c r="H40" s="19"/>
    </row>
    <row r="41" spans="1:8" ht="18" customHeight="1" x14ac:dyDescent="0.5">
      <c r="A41" s="13" t="s">
        <v>37</v>
      </c>
      <c r="B41" s="11" t="s">
        <v>69</v>
      </c>
      <c r="C41" s="6"/>
      <c r="D41" s="6">
        <f>+ส.ค.60!D41</f>
        <v>5919458.6299999999</v>
      </c>
    </row>
    <row r="42" spans="1:8" ht="18" customHeight="1" x14ac:dyDescent="0.5">
      <c r="A42" s="14" t="s">
        <v>38</v>
      </c>
      <c r="B42" s="9"/>
      <c r="C42" s="8">
        <f>SUM(C6:C41)</f>
        <v>42927055.200000003</v>
      </c>
      <c r="D42" s="8">
        <f>SUM(D6:D41)</f>
        <v>42927055.200000003</v>
      </c>
      <c r="F42" s="2">
        <f>+C42-D42</f>
        <v>0</v>
      </c>
    </row>
    <row r="44" spans="1:8" ht="20.25" customHeight="1" x14ac:dyDescent="0.5">
      <c r="A44" s="22" t="s">
        <v>89</v>
      </c>
    </row>
    <row r="46" spans="1:8" ht="22.5" customHeight="1" x14ac:dyDescent="0.5">
      <c r="A46" s="15" t="s">
        <v>88</v>
      </c>
      <c r="C46" s="1"/>
      <c r="D46" s="19">
        <v>29332</v>
      </c>
    </row>
    <row r="47" spans="1:8" ht="22.5" customHeight="1" x14ac:dyDescent="0.5">
      <c r="A47" s="15" t="s">
        <v>90</v>
      </c>
      <c r="D47" s="3">
        <v>3760</v>
      </c>
    </row>
    <row r="48" spans="1:8" ht="22.5" customHeight="1" x14ac:dyDescent="0.5">
      <c r="A48" s="15" t="s">
        <v>91</v>
      </c>
      <c r="D48" s="3">
        <v>92000</v>
      </c>
    </row>
    <row r="49" spans="1:4" ht="22.5" customHeight="1" x14ac:dyDescent="0.5">
      <c r="A49" s="15" t="s">
        <v>92</v>
      </c>
      <c r="D49" s="3">
        <v>2600</v>
      </c>
    </row>
    <row r="50" spans="1:4" ht="22.5" customHeight="1" x14ac:dyDescent="0.5">
      <c r="A50" s="15" t="s">
        <v>93</v>
      </c>
      <c r="D50" s="3">
        <v>4964100</v>
      </c>
    </row>
    <row r="51" spans="1:4" ht="22.5" customHeight="1" x14ac:dyDescent="0.5">
      <c r="A51" s="15" t="s">
        <v>94</v>
      </c>
      <c r="D51" s="3">
        <v>3200</v>
      </c>
    </row>
    <row r="52" spans="1:4" ht="22.5" customHeight="1" x14ac:dyDescent="0.5">
      <c r="A52" s="15" t="s">
        <v>98</v>
      </c>
      <c r="D52" s="3">
        <v>22470</v>
      </c>
    </row>
    <row r="53" spans="1:4" ht="22.5" customHeight="1" x14ac:dyDescent="0.5">
      <c r="A53" s="15" t="s">
        <v>95</v>
      </c>
    </row>
    <row r="54" spans="1:4" ht="22.5" customHeight="1" x14ac:dyDescent="0.5">
      <c r="A54" s="15" t="s">
        <v>99</v>
      </c>
    </row>
    <row r="55" spans="1:4" ht="22.5" customHeight="1" x14ac:dyDescent="0.5">
      <c r="A55" s="15" t="s">
        <v>96</v>
      </c>
    </row>
    <row r="56" spans="1:4" ht="22.5" customHeight="1" x14ac:dyDescent="0.5">
      <c r="A56" s="15" t="s">
        <v>97</v>
      </c>
    </row>
    <row r="57" spans="1:4" ht="22.5" customHeight="1" x14ac:dyDescent="0.5"/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zoomScaleNormal="100" zoomScaleSheetLayoutView="100" workbookViewId="0">
      <selection activeCell="B44" sqref="B44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16384" width="9" style="1"/>
  </cols>
  <sheetData>
    <row r="1" spans="1:6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6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6" s="4" customFormat="1" ht="18" customHeight="1" x14ac:dyDescent="0.5">
      <c r="A3" s="24" t="s">
        <v>75</v>
      </c>
      <c r="B3" s="24"/>
      <c r="C3" s="24"/>
      <c r="D3" s="24"/>
      <c r="E3" s="5"/>
      <c r="F3" s="5"/>
    </row>
    <row r="5" spans="1:6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6" ht="18" customHeight="1" x14ac:dyDescent="0.5">
      <c r="A6" s="13" t="s">
        <v>5</v>
      </c>
      <c r="B6" s="11" t="s">
        <v>39</v>
      </c>
      <c r="C6" s="6">
        <f>+ต.ค.60!C6+49888-49888</f>
        <v>0</v>
      </c>
      <c r="D6" s="6" t="s">
        <v>6</v>
      </c>
    </row>
    <row r="7" spans="1:6" ht="18" customHeight="1" x14ac:dyDescent="0.5">
      <c r="A7" s="13" t="s">
        <v>7</v>
      </c>
      <c r="B7" s="11" t="s">
        <v>76</v>
      </c>
      <c r="C7" s="6">
        <f>+ต.ค.60!C7</f>
        <v>4989770</v>
      </c>
      <c r="D7" s="6"/>
    </row>
    <row r="8" spans="1:6" ht="18" customHeight="1" x14ac:dyDescent="0.5">
      <c r="A8" s="13" t="s">
        <v>8</v>
      </c>
      <c r="B8" s="11" t="s">
        <v>40</v>
      </c>
      <c r="C8" s="6">
        <f>+ต.ค.60!C8+927755.97-2088078.01-5322162.03</f>
        <v>10359341.77</v>
      </c>
      <c r="D8" s="6"/>
    </row>
    <row r="9" spans="1:6" ht="18" customHeight="1" x14ac:dyDescent="0.5">
      <c r="A9" s="13" t="s">
        <v>9</v>
      </c>
      <c r="B9" s="11" t="s">
        <v>40</v>
      </c>
      <c r="C9" s="6">
        <f>+ต.ค.60!C9</f>
        <v>180368.33</v>
      </c>
      <c r="D9" s="6" t="s">
        <v>6</v>
      </c>
    </row>
    <row r="10" spans="1:6" ht="18" customHeight="1" x14ac:dyDescent="0.5">
      <c r="A10" s="13" t="s">
        <v>10</v>
      </c>
      <c r="B10" s="11" t="s">
        <v>40</v>
      </c>
      <c r="C10" s="6">
        <f>+ต.ค.60!C10+24078-2277884.07+5322162.03</f>
        <v>4917631.42</v>
      </c>
      <c r="D10" s="6"/>
    </row>
    <row r="11" spans="1:6" ht="18" customHeight="1" x14ac:dyDescent="0.5">
      <c r="A11" s="13" t="s">
        <v>11</v>
      </c>
      <c r="B11" s="11" t="s">
        <v>40</v>
      </c>
      <c r="C11" s="6">
        <f>+ต.ค.60!C11+25810</f>
        <v>573637.47</v>
      </c>
      <c r="D11" s="6"/>
    </row>
    <row r="12" spans="1:6" ht="18" customHeight="1" x14ac:dyDescent="0.5">
      <c r="A12" s="13" t="s">
        <v>12</v>
      </c>
      <c r="B12" s="11" t="s">
        <v>40</v>
      </c>
      <c r="C12" s="6">
        <f>+ต.ค.60!C12</f>
        <v>17253.28</v>
      </c>
      <c r="D12" s="6"/>
    </row>
    <row r="13" spans="1:6" ht="18" customHeight="1" x14ac:dyDescent="0.5">
      <c r="A13" s="13" t="s">
        <v>13</v>
      </c>
      <c r="B13" s="11" t="s">
        <v>41</v>
      </c>
      <c r="C13" s="6">
        <f>+ต.ค.60!C13</f>
        <v>302529</v>
      </c>
      <c r="D13" s="6"/>
    </row>
    <row r="14" spans="1:6" ht="18" customHeight="1" x14ac:dyDescent="0.5">
      <c r="A14" s="13" t="s">
        <v>14</v>
      </c>
      <c r="B14" s="11" t="s">
        <v>41</v>
      </c>
      <c r="C14" s="6">
        <f>+ต.ค.60!C14</f>
        <v>2022400.27</v>
      </c>
      <c r="D14" s="6"/>
      <c r="F14" s="2">
        <f>SUM(C8:C14)</f>
        <v>18373161.539999999</v>
      </c>
    </row>
    <row r="15" spans="1:6" ht="18" customHeight="1" x14ac:dyDescent="0.5">
      <c r="A15" s="13" t="s">
        <v>15</v>
      </c>
      <c r="B15" s="11" t="s">
        <v>42</v>
      </c>
      <c r="C15" s="6">
        <f>+ต.ค.60!C15</f>
        <v>22140</v>
      </c>
      <c r="D15" s="6"/>
    </row>
    <row r="16" spans="1:6" ht="18" customHeight="1" x14ac:dyDescent="0.5">
      <c r="A16" s="13" t="s">
        <v>43</v>
      </c>
      <c r="B16" s="11" t="s">
        <v>44</v>
      </c>
      <c r="C16" s="6">
        <f>+ต.ค.60!C16+594792-8920</f>
        <v>594792</v>
      </c>
      <c r="D16" s="6"/>
    </row>
    <row r="17" spans="1:4" ht="18" customHeight="1" x14ac:dyDescent="0.5">
      <c r="A17" s="13" t="s">
        <v>16</v>
      </c>
      <c r="B17" s="11" t="s">
        <v>45</v>
      </c>
      <c r="C17" s="6">
        <f>+ต.ค.60!C17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+ต.ค.60!C18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+ต.ค.60!C19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+ต.ค.60!C20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+ต.ค.60!C21+419270+502200+88000+500</f>
        <v>1363830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+ต.ค.60!C22+214260</f>
        <v>428520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+ต.ค.60!C23+399750</f>
        <v>773480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+ต.ค.60!C24+45645</f>
        <v>89030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+ต.ค.60!C25+123380</f>
        <v>216565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+ต.ค.60!C26+27700</f>
        <v>62550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+ต.ค.60!C27+76400+8920</f>
        <v>100176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+ต.ค.60!C28</f>
        <v>0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+ต.ค.60!C29+22415.07</f>
        <v>49451.759999999995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+ต.ค.60!C30</f>
        <v>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+ต.ค.60!C31+99000</f>
        <v>99000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+ต.ค.60!C32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+ต.ค.60!C33</f>
        <v>0</v>
      </c>
      <c r="D33" s="6"/>
    </row>
    <row r="34" spans="1:6" ht="18" customHeight="1" x14ac:dyDescent="0.5">
      <c r="A34" s="13" t="s">
        <v>70</v>
      </c>
      <c r="B34" s="11" t="s">
        <v>72</v>
      </c>
      <c r="C34" s="6">
        <f>+ต.ค.60!C34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+ต.ค.60!D35+934733.97</f>
        <v>6260335.3999999994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+ต.ค.60!D36</f>
        <v>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+ต.ค.60!D37-1395600</f>
        <v>7109353.5399999991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+ต.ค.60!D38+17100+25810-84.1-680+142714.09</f>
        <v>2387972.5299999998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+ต.ค.60!D39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+ต.ค.60!D40-499000</f>
        <v>5524507.7400000002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+ต.ค.60!D41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27224097.84</v>
      </c>
      <c r="D42" s="8">
        <f>SUM(D6:D41)</f>
        <v>27224097.839999996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topLeftCell="A29" zoomScaleNormal="100" zoomScaleSheetLayoutView="100" workbookViewId="0">
      <selection activeCell="C16" sqref="C16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16384" width="9" style="1"/>
  </cols>
  <sheetData>
    <row r="1" spans="1:6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6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6" s="4" customFormat="1" ht="18" customHeight="1" x14ac:dyDescent="0.5">
      <c r="A3" s="24" t="s">
        <v>77</v>
      </c>
      <c r="B3" s="24"/>
      <c r="C3" s="24"/>
      <c r="D3" s="24"/>
      <c r="E3" s="5"/>
      <c r="F3" s="5"/>
    </row>
    <row r="5" spans="1:6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6" ht="18" customHeight="1" x14ac:dyDescent="0.5">
      <c r="A6" s="13" t="s">
        <v>5</v>
      </c>
      <c r="B6" s="11" t="s">
        <v>39</v>
      </c>
      <c r="C6" s="6">
        <f>+พ.ย.60!C6</f>
        <v>0</v>
      </c>
      <c r="D6" s="6" t="s">
        <v>6</v>
      </c>
    </row>
    <row r="7" spans="1:6" ht="18" customHeight="1" x14ac:dyDescent="0.5">
      <c r="A7" s="13" t="s">
        <v>7</v>
      </c>
      <c r="B7" s="11" t="s">
        <v>76</v>
      </c>
      <c r="C7" s="6">
        <f>+พ.ย.60!C7</f>
        <v>4989770</v>
      </c>
      <c r="D7" s="6"/>
    </row>
    <row r="8" spans="1:6" ht="18" customHeight="1" x14ac:dyDescent="0.5">
      <c r="A8" s="13" t="s">
        <v>8</v>
      </c>
      <c r="B8" s="11" t="s">
        <v>40</v>
      </c>
      <c r="C8" s="6">
        <f>+พ.ย.60!C8+664839.57-1222593</f>
        <v>9801588.3399999999</v>
      </c>
      <c r="D8" s="6"/>
    </row>
    <row r="9" spans="1:6" ht="18" customHeight="1" x14ac:dyDescent="0.5">
      <c r="A9" s="13" t="s">
        <v>9</v>
      </c>
      <c r="B9" s="11" t="s">
        <v>40</v>
      </c>
      <c r="C9" s="6">
        <f>+พ.ย.60!C9</f>
        <v>180368.33</v>
      </c>
      <c r="D9" s="6" t="s">
        <v>6</v>
      </c>
    </row>
    <row r="10" spans="1:6" ht="18" customHeight="1" x14ac:dyDescent="0.5">
      <c r="A10" s="13" t="s">
        <v>10</v>
      </c>
      <c r="B10" s="11" t="s">
        <v>40</v>
      </c>
      <c r="C10" s="6">
        <f>+พ.ย.60!C10+13879-1298074.35+100000+22140</f>
        <v>3755576.07</v>
      </c>
      <c r="D10" s="6"/>
    </row>
    <row r="11" spans="1:6" ht="18" customHeight="1" x14ac:dyDescent="0.5">
      <c r="A11" s="13" t="s">
        <v>11</v>
      </c>
      <c r="B11" s="11" t="s">
        <v>40</v>
      </c>
      <c r="C11" s="6">
        <f>+พ.ย.60!C11+32951-100000</f>
        <v>506588.47</v>
      </c>
      <c r="D11" s="6"/>
    </row>
    <row r="12" spans="1:6" ht="18" customHeight="1" x14ac:dyDescent="0.5">
      <c r="A12" s="13" t="s">
        <v>12</v>
      </c>
      <c r="B12" s="11" t="s">
        <v>40</v>
      </c>
      <c r="C12" s="6">
        <f>+พ.ย.60!C12</f>
        <v>17253.28</v>
      </c>
      <c r="D12" s="6"/>
    </row>
    <row r="13" spans="1:6" ht="18" customHeight="1" x14ac:dyDescent="0.5">
      <c r="A13" s="13" t="s">
        <v>13</v>
      </c>
      <c r="B13" s="11" t="s">
        <v>41</v>
      </c>
      <c r="C13" s="6">
        <f>+พ.ย.60!C13</f>
        <v>302529</v>
      </c>
      <c r="D13" s="6"/>
    </row>
    <row r="14" spans="1:6" ht="18" customHeight="1" x14ac:dyDescent="0.5">
      <c r="A14" s="13" t="s">
        <v>14</v>
      </c>
      <c r="B14" s="11" t="s">
        <v>41</v>
      </c>
      <c r="C14" s="6">
        <f>+พ.ย.60!C14</f>
        <v>2022400.27</v>
      </c>
      <c r="D14" s="6"/>
      <c r="F14" s="2">
        <f>SUM(C8:C14)</f>
        <v>16586303.76</v>
      </c>
    </row>
    <row r="15" spans="1:6" ht="18" customHeight="1" x14ac:dyDescent="0.5">
      <c r="A15" s="13" t="s">
        <v>15</v>
      </c>
      <c r="B15" s="11" t="s">
        <v>42</v>
      </c>
      <c r="C15" s="6">
        <f>+พ.ย.60!C15-22140</f>
        <v>0</v>
      </c>
      <c r="D15" s="6"/>
    </row>
    <row r="16" spans="1:6" ht="18" customHeight="1" x14ac:dyDescent="0.5">
      <c r="A16" s="13" t="s">
        <v>43</v>
      </c>
      <c r="B16" s="11" t="s">
        <v>44</v>
      </c>
      <c r="C16" s="6">
        <f>+พ.ย.60!C16+34428-7992-586800</f>
        <v>34428</v>
      </c>
      <c r="D16" s="6"/>
    </row>
    <row r="17" spans="1:4" ht="18" customHeight="1" x14ac:dyDescent="0.5">
      <c r="A17" s="13" t="s">
        <v>16</v>
      </c>
      <c r="B17" s="11" t="s">
        <v>45</v>
      </c>
      <c r="C17" s="6">
        <f>+พ.ย.60!C17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+พ.ย.60!C18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+พ.ย.60!C19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+พ.ย.60!C20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+พ.ย.60!C21+154550+3100+800+586800</f>
        <v>2109080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+พ.ย.60!C22+214260</f>
        <v>642780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+พ.ย.60!C23+386740</f>
        <v>1160220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+พ.ย.60!C24+44275</f>
        <v>133305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+พ.ย.60!C25+107945</f>
        <v>324510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+พ.ย.60!C26+25300</f>
        <v>87850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+พ.ย.60!C27+541630+7992</f>
        <v>649798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+พ.ย.60!C28+23055.5</f>
        <v>23055.5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+พ.ย.60!C29+50468.2</f>
        <v>99919.959999999992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+พ.ย.60!C30</f>
        <v>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+พ.ย.60!C31</f>
        <v>99000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+พ.ย.60!C32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+พ.ย.60!C33+390720</f>
        <v>390720</v>
      </c>
      <c r="D33" s="6"/>
    </row>
    <row r="34" spans="1:6" ht="18" customHeight="1" x14ac:dyDescent="0.5">
      <c r="A34" s="13" t="s">
        <v>70</v>
      </c>
      <c r="B34" s="11" t="s">
        <v>72</v>
      </c>
      <c r="C34" s="6">
        <f>+พ.ย.60!C34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+พ.ย.60!D35+674168.57</f>
        <v>6934503.9699999997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+พ.ย.60!D36</f>
        <v>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+พ.ย.60!D37-439275</f>
        <v>6670078.5399999991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+พ.ย.60!D38+37501-9615.1-100000+5494.45</f>
        <v>2321352.88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+พ.ย.60!D39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+พ.ย.60!D40</f>
        <v>5524507.7400000002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+พ.ย.60!D41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27392371.759999998</v>
      </c>
      <c r="D42" s="8">
        <f>SUM(D6:D41)</f>
        <v>27392371.759999994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2"/>
  <sheetViews>
    <sheetView topLeftCell="A25" zoomScaleNormal="100" zoomScaleSheetLayoutView="100" workbookViewId="0">
      <selection activeCell="F17" sqref="F17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16384" width="9" style="1"/>
  </cols>
  <sheetData>
    <row r="1" spans="1:6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6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6" s="4" customFormat="1" ht="18" customHeight="1" x14ac:dyDescent="0.5">
      <c r="A3" s="24" t="s">
        <v>78</v>
      </c>
      <c r="B3" s="24"/>
      <c r="C3" s="24"/>
      <c r="D3" s="24"/>
      <c r="E3" s="5"/>
      <c r="F3" s="5"/>
    </row>
    <row r="5" spans="1:6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6" ht="18" customHeight="1" x14ac:dyDescent="0.5">
      <c r="A6" s="13" t="s">
        <v>5</v>
      </c>
      <c r="B6" s="11" t="s">
        <v>39</v>
      </c>
      <c r="C6" s="6">
        <f>+ธ.ค.60!C6+31852-21817</f>
        <v>10035</v>
      </c>
      <c r="D6" s="6" t="s">
        <v>6</v>
      </c>
    </row>
    <row r="7" spans="1:6" ht="18" customHeight="1" x14ac:dyDescent="0.5">
      <c r="A7" s="13" t="s">
        <v>7</v>
      </c>
      <c r="B7" s="11" t="s">
        <v>76</v>
      </c>
      <c r="C7" s="6">
        <f>+ธ.ค.60!C7</f>
        <v>4989770</v>
      </c>
      <c r="D7" s="6"/>
    </row>
    <row r="8" spans="1:6" ht="18" customHeight="1" x14ac:dyDescent="0.5">
      <c r="A8" s="13" t="s">
        <v>8</v>
      </c>
      <c r="B8" s="11" t="s">
        <v>40</v>
      </c>
      <c r="C8" s="6">
        <f>+ธ.ค.60!C8+4963457.09-731238</f>
        <v>14033807.43</v>
      </c>
      <c r="D8" s="6"/>
    </row>
    <row r="9" spans="1:6" ht="18" customHeight="1" x14ac:dyDescent="0.5">
      <c r="A9" s="13" t="s">
        <v>9</v>
      </c>
      <c r="B9" s="11" t="s">
        <v>40</v>
      </c>
      <c r="C9" s="6">
        <f>+ธ.ค.60!C9</f>
        <v>180368.33</v>
      </c>
      <c r="D9" s="6" t="s">
        <v>6</v>
      </c>
    </row>
    <row r="10" spans="1:6" ht="18" customHeight="1" x14ac:dyDescent="0.5">
      <c r="A10" s="13" t="s">
        <v>10</v>
      </c>
      <c r="B10" s="11" t="s">
        <v>40</v>
      </c>
      <c r="C10" s="6">
        <f>+ธ.ค.60!C10+16440-1215056.52+30000</f>
        <v>2586959.5499999998</v>
      </c>
      <c r="D10" s="6"/>
    </row>
    <row r="11" spans="1:6" ht="18" customHeight="1" x14ac:dyDescent="0.5">
      <c r="A11" s="13" t="s">
        <v>11</v>
      </c>
      <c r="B11" s="11" t="s">
        <v>40</v>
      </c>
      <c r="C11" s="6">
        <f>+ธ.ค.60!C11+8407-30000</f>
        <v>484995.47</v>
      </c>
      <c r="D11" s="6"/>
    </row>
    <row r="12" spans="1:6" ht="18" customHeight="1" x14ac:dyDescent="0.5">
      <c r="A12" s="13" t="s">
        <v>12</v>
      </c>
      <c r="B12" s="11" t="s">
        <v>40</v>
      </c>
      <c r="C12" s="6">
        <f>+ธ.ค.60!C12</f>
        <v>17253.28</v>
      </c>
      <c r="D12" s="6"/>
    </row>
    <row r="13" spans="1:6" ht="18" customHeight="1" x14ac:dyDescent="0.5">
      <c r="A13" s="13" t="s">
        <v>13</v>
      </c>
      <c r="B13" s="11" t="s">
        <v>41</v>
      </c>
      <c r="C13" s="6">
        <f>+ธ.ค.60!C13</f>
        <v>302529</v>
      </c>
      <c r="D13" s="6"/>
    </row>
    <row r="14" spans="1:6" ht="18" customHeight="1" x14ac:dyDescent="0.5">
      <c r="A14" s="13" t="s">
        <v>14</v>
      </c>
      <c r="B14" s="11" t="s">
        <v>41</v>
      </c>
      <c r="C14" s="6">
        <f>+ธ.ค.60!C14</f>
        <v>2022400.27</v>
      </c>
      <c r="D14" s="6"/>
      <c r="F14" s="2">
        <f>SUM(C8:C14)+C6</f>
        <v>19638348.329999998</v>
      </c>
    </row>
    <row r="15" spans="1:6" ht="18" customHeight="1" x14ac:dyDescent="0.5">
      <c r="A15" s="13" t="s">
        <v>15</v>
      </c>
      <c r="B15" s="11" t="s">
        <v>42</v>
      </c>
      <c r="C15" s="6">
        <f>+ธ.ค.60!C15</f>
        <v>0</v>
      </c>
      <c r="D15" s="6"/>
    </row>
    <row r="16" spans="1:6" ht="18" customHeight="1" x14ac:dyDescent="0.5">
      <c r="A16" s="13" t="s">
        <v>43</v>
      </c>
      <c r="B16" s="11" t="s">
        <v>44</v>
      </c>
      <c r="C16" s="6">
        <f>+ธ.ค.60!C16-2700+621408-17628-14100-29208-584200</f>
        <v>8000</v>
      </c>
      <c r="D16" s="6"/>
      <c r="F16" s="2">
        <v>645136</v>
      </c>
    </row>
    <row r="17" spans="1:7" ht="18" customHeight="1" x14ac:dyDescent="0.5">
      <c r="A17" s="13" t="s">
        <v>16</v>
      </c>
      <c r="B17" s="11" t="s">
        <v>45</v>
      </c>
      <c r="C17" s="6">
        <f>+ธ.ค.60!C17</f>
        <v>39161.54</v>
      </c>
      <c r="D17" s="6"/>
    </row>
    <row r="18" spans="1:7" ht="18" customHeight="1" x14ac:dyDescent="0.5">
      <c r="A18" s="13" t="s">
        <v>17</v>
      </c>
      <c r="B18" s="11" t="s">
        <v>46</v>
      </c>
      <c r="C18" s="6">
        <f>+ธ.ค.60!C18</f>
        <v>0</v>
      </c>
      <c r="D18" s="6"/>
    </row>
    <row r="19" spans="1:7" ht="18" customHeight="1" x14ac:dyDescent="0.5">
      <c r="A19" s="13" t="s">
        <v>18</v>
      </c>
      <c r="B19" s="11" t="s">
        <v>47</v>
      </c>
      <c r="C19" s="6">
        <f>+ธ.ค.60!C19</f>
        <v>0</v>
      </c>
      <c r="D19" s="6"/>
    </row>
    <row r="20" spans="1:7" ht="18" customHeight="1" x14ac:dyDescent="0.5">
      <c r="A20" s="13" t="s">
        <v>19</v>
      </c>
      <c r="B20" s="11" t="s">
        <v>48</v>
      </c>
      <c r="C20" s="6">
        <f>+ธ.ค.60!C20</f>
        <v>22470</v>
      </c>
      <c r="D20" s="6"/>
    </row>
    <row r="21" spans="1:7" ht="18" customHeight="1" x14ac:dyDescent="0.5">
      <c r="A21" s="13" t="s">
        <v>20</v>
      </c>
      <c r="B21" s="11" t="s">
        <v>49</v>
      </c>
      <c r="C21" s="6">
        <f>+ธ.ค.60!C21+305398+4900+800+494900+88800+500</f>
        <v>3004378</v>
      </c>
      <c r="D21" s="6"/>
      <c r="G21" s="3"/>
    </row>
    <row r="22" spans="1:7" ht="18" customHeight="1" x14ac:dyDescent="0.5">
      <c r="A22" s="13" t="s">
        <v>21</v>
      </c>
      <c r="B22" s="11" t="s">
        <v>50</v>
      </c>
      <c r="C22" s="6">
        <f>+ธ.ค.60!C22+214260</f>
        <v>857040</v>
      </c>
      <c r="D22" s="6"/>
    </row>
    <row r="23" spans="1:7" ht="18" customHeight="1" x14ac:dyDescent="0.5">
      <c r="A23" s="13" t="s">
        <v>22</v>
      </c>
      <c r="B23" s="11" t="s">
        <v>51</v>
      </c>
      <c r="C23" s="6">
        <f>+ธ.ค.60!C23+365960</f>
        <v>1526180</v>
      </c>
      <c r="D23" s="6"/>
    </row>
    <row r="24" spans="1:7" ht="18" customHeight="1" x14ac:dyDescent="0.5">
      <c r="A24" s="13" t="s">
        <v>23</v>
      </c>
      <c r="B24" s="11" t="s">
        <v>52</v>
      </c>
      <c r="C24" s="6">
        <f>+ธ.ค.60!C24+44275</f>
        <v>177580</v>
      </c>
      <c r="D24" s="6"/>
    </row>
    <row r="25" spans="1:7" ht="18" customHeight="1" x14ac:dyDescent="0.5">
      <c r="A25" s="13" t="s">
        <v>24</v>
      </c>
      <c r="B25" s="11" t="s">
        <v>53</v>
      </c>
      <c r="C25" s="6">
        <f>+ธ.ค.60!C25+107945</f>
        <v>432455</v>
      </c>
      <c r="D25" s="6"/>
    </row>
    <row r="26" spans="1:7" ht="18" customHeight="1" x14ac:dyDescent="0.5">
      <c r="A26" s="13" t="s">
        <v>25</v>
      </c>
      <c r="B26" s="11" t="s">
        <v>54</v>
      </c>
      <c r="C26" s="6">
        <f>+ธ.ค.60!C26+21700</f>
        <v>109550</v>
      </c>
      <c r="D26" s="6"/>
    </row>
    <row r="27" spans="1:7" ht="18" customHeight="1" x14ac:dyDescent="0.5">
      <c r="A27" s="13" t="s">
        <v>26</v>
      </c>
      <c r="B27" s="11" t="s">
        <v>55</v>
      </c>
      <c r="C27" s="6">
        <f>+ธ.ค.60!C27+147556.69+17628+14100+29208</f>
        <v>858290.69</v>
      </c>
      <c r="D27" s="6"/>
    </row>
    <row r="28" spans="1:7" ht="18" customHeight="1" x14ac:dyDescent="0.5">
      <c r="A28" s="13" t="s">
        <v>27</v>
      </c>
      <c r="B28" s="11" t="s">
        <v>56</v>
      </c>
      <c r="C28" s="6">
        <f>+ธ.ค.60!C28+60021</f>
        <v>83076.5</v>
      </c>
      <c r="D28" s="6"/>
    </row>
    <row r="29" spans="1:7" ht="18" customHeight="1" x14ac:dyDescent="0.5">
      <c r="A29" s="13" t="s">
        <v>28</v>
      </c>
      <c r="B29" s="11" t="s">
        <v>57</v>
      </c>
      <c r="C29" s="6">
        <f>+ธ.ค.60!C29+150.08</f>
        <v>100070.04</v>
      </c>
      <c r="D29" s="6"/>
    </row>
    <row r="30" spans="1:7" ht="18" customHeight="1" x14ac:dyDescent="0.5">
      <c r="A30" s="13" t="s">
        <v>29</v>
      </c>
      <c r="B30" s="11" t="s">
        <v>58</v>
      </c>
      <c r="C30" s="6">
        <f>+ธ.ค.60!C30</f>
        <v>0</v>
      </c>
      <c r="D30" s="6"/>
    </row>
    <row r="31" spans="1:7" ht="18" customHeight="1" x14ac:dyDescent="0.5">
      <c r="A31" s="13" t="s">
        <v>30</v>
      </c>
      <c r="B31" s="11" t="s">
        <v>59</v>
      </c>
      <c r="C31" s="6">
        <f>+ธ.ค.60!C31</f>
        <v>99000</v>
      </c>
      <c r="D31" s="6"/>
    </row>
    <row r="32" spans="1:7" ht="18" customHeight="1" x14ac:dyDescent="0.5">
      <c r="A32" s="13" t="s">
        <v>31</v>
      </c>
      <c r="B32" s="11" t="s">
        <v>60</v>
      </c>
      <c r="C32" s="6">
        <f>+ธ.ค.60!C32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+ธ.ค.60!C33</f>
        <v>390720</v>
      </c>
      <c r="D33" s="6"/>
    </row>
    <row r="34" spans="1:6" ht="18" customHeight="1" x14ac:dyDescent="0.5">
      <c r="A34" s="13" t="s">
        <v>70</v>
      </c>
      <c r="B34" s="11" t="s">
        <v>72</v>
      </c>
      <c r="C34" s="6">
        <f>+ธ.ค.60!C34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+ธ.ค.60!D35+4973992.09</f>
        <v>11908496.059999999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+ธ.ค.60!D36</f>
        <v>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+ธ.ค.60!D37-18000</f>
        <v>6652078.5399999991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+ธ.ค.60!D38+10210+8407+3030-5494.45-30000-500+2073.7</f>
        <v>2309079.13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+ธ.ค.60!D39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+ธ.ค.60!D40</f>
        <v>5524507.7400000002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+ธ.ค.60!D41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32336090.099999998</v>
      </c>
      <c r="D42" s="8">
        <f>SUM(D6:D41)</f>
        <v>32336090.099999998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topLeftCell="A28" zoomScaleNormal="100" zoomScaleSheetLayoutView="100" workbookViewId="0">
      <selection activeCell="F39" sqref="F39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16384" width="9" style="1"/>
  </cols>
  <sheetData>
    <row r="1" spans="1:6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6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6" s="4" customFormat="1" ht="18" customHeight="1" x14ac:dyDescent="0.5">
      <c r="A3" s="24" t="s">
        <v>79</v>
      </c>
      <c r="B3" s="24"/>
      <c r="C3" s="24"/>
      <c r="D3" s="24"/>
      <c r="E3" s="5"/>
      <c r="F3" s="5"/>
    </row>
    <row r="5" spans="1:6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6" ht="18" customHeight="1" x14ac:dyDescent="0.5">
      <c r="A6" s="13" t="s">
        <v>5</v>
      </c>
      <c r="B6" s="11" t="s">
        <v>39</v>
      </c>
      <c r="C6" s="6">
        <f>+ม.ค.60!C6+73277-83312</f>
        <v>0</v>
      </c>
      <c r="D6" s="6" t="s">
        <v>6</v>
      </c>
    </row>
    <row r="7" spans="1:6" ht="18" customHeight="1" x14ac:dyDescent="0.5">
      <c r="A7" s="13" t="s">
        <v>7</v>
      </c>
      <c r="B7" s="11" t="s">
        <v>76</v>
      </c>
      <c r="C7" s="6">
        <f>+ม.ค.60!C7</f>
        <v>4989770</v>
      </c>
      <c r="D7" s="6"/>
    </row>
    <row r="8" spans="1:6" ht="18" customHeight="1" x14ac:dyDescent="0.5">
      <c r="A8" s="13" t="s">
        <v>8</v>
      </c>
      <c r="B8" s="11" t="s">
        <v>40</v>
      </c>
      <c r="C8" s="6">
        <f>+ม.ค.60!C8+1233500.36-788208+25500</f>
        <v>14504599.789999999</v>
      </c>
      <c r="D8" s="6"/>
    </row>
    <row r="9" spans="1:6" ht="18" customHeight="1" x14ac:dyDescent="0.5">
      <c r="A9" s="13" t="s">
        <v>9</v>
      </c>
      <c r="B9" s="11" t="s">
        <v>40</v>
      </c>
      <c r="C9" s="6">
        <f>+ม.ค.60!C9+680.08</f>
        <v>181048.40999999997</v>
      </c>
      <c r="D9" s="6" t="s">
        <v>6</v>
      </c>
    </row>
    <row r="10" spans="1:6" ht="18" customHeight="1" x14ac:dyDescent="0.5">
      <c r="A10" s="13" t="s">
        <v>10</v>
      </c>
      <c r="B10" s="11" t="s">
        <v>40</v>
      </c>
      <c r="C10" s="6">
        <f>+ม.ค.60!C10+83312-2482800.27-25500</f>
        <v>161971.2799999998</v>
      </c>
      <c r="D10" s="6"/>
    </row>
    <row r="11" spans="1:6" ht="18" customHeight="1" x14ac:dyDescent="0.5">
      <c r="A11" s="13" t="s">
        <v>11</v>
      </c>
      <c r="B11" s="11" t="s">
        <v>40</v>
      </c>
      <c r="C11" s="6">
        <f>+ม.ค.60!C11</f>
        <v>484995.47</v>
      </c>
      <c r="D11" s="6"/>
    </row>
    <row r="12" spans="1:6" ht="18" customHeight="1" x14ac:dyDescent="0.5">
      <c r="A12" s="13" t="s">
        <v>12</v>
      </c>
      <c r="B12" s="11" t="s">
        <v>40</v>
      </c>
      <c r="C12" s="6">
        <f>+ม.ค.60!C12+36.44</f>
        <v>17289.719999999998</v>
      </c>
      <c r="D12" s="6"/>
    </row>
    <row r="13" spans="1:6" ht="18" customHeight="1" x14ac:dyDescent="0.5">
      <c r="A13" s="13" t="s">
        <v>13</v>
      </c>
      <c r="B13" s="11" t="s">
        <v>41</v>
      </c>
      <c r="C13" s="6">
        <f>+ม.ค.60!C13+1370.47</f>
        <v>303899.46999999997</v>
      </c>
      <c r="D13" s="6"/>
    </row>
    <row r="14" spans="1:6" ht="18" customHeight="1" x14ac:dyDescent="0.5">
      <c r="A14" s="13" t="s">
        <v>14</v>
      </c>
      <c r="B14" s="11" t="s">
        <v>41</v>
      </c>
      <c r="C14" s="6">
        <f>+ม.ค.60!C14+4321.08</f>
        <v>2026721.35</v>
      </c>
      <c r="D14" s="6"/>
      <c r="F14" s="2">
        <f>SUM(C8:C14)</f>
        <v>17680525.490000002</v>
      </c>
    </row>
    <row r="15" spans="1:6" ht="18" customHeight="1" x14ac:dyDescent="0.5">
      <c r="A15" s="13" t="s">
        <v>15</v>
      </c>
      <c r="B15" s="11" t="s">
        <v>42</v>
      </c>
      <c r="C15" s="6">
        <f>+ม.ค.60!C15</f>
        <v>0</v>
      </c>
      <c r="D15" s="6"/>
    </row>
    <row r="16" spans="1:6" ht="18" customHeight="1" x14ac:dyDescent="0.5">
      <c r="A16" s="13" t="s">
        <v>43</v>
      </c>
      <c r="B16" s="11" t="s">
        <v>44</v>
      </c>
      <c r="C16" s="6">
        <f>+ม.ค.60!C16+692652-8000-93788-583200</f>
        <v>15664</v>
      </c>
      <c r="D16" s="6"/>
      <c r="F16" s="2">
        <v>684988</v>
      </c>
    </row>
    <row r="17" spans="1:4" ht="18" customHeight="1" x14ac:dyDescent="0.5">
      <c r="A17" s="13" t="s">
        <v>16</v>
      </c>
      <c r="B17" s="11" t="s">
        <v>45</v>
      </c>
      <c r="C17" s="6">
        <f>+ม.ค.60!C17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+ม.ค.60!C18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+ม.ค.60!C19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+ม.ค.60!C20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+ม.ค.60!C21+5398+4900+1600+493900+88800+500</f>
        <v>3599476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+ม.ค.60!C22+214260</f>
        <v>1071300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+ม.ค.60!C23+366328</f>
        <v>1892508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+ม.ค.60!C24+44275</f>
        <v>221855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+ม.ค.60!C25+107945</f>
        <v>540400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+ม.ค.60!C26+17940</f>
        <v>127490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+ม.ค.60!C27+278140+8000+93788</f>
        <v>1238218.69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+ม.ค.60!C28+208785.5</f>
        <v>291862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+ม.ค.60!C29+18352.98</f>
        <v>118423.01999999999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+ม.ค.60!C30+12000</f>
        <v>12000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+ม.ค.60!C31</f>
        <v>99000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+ม.ค.60!C32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+ม.ค.60!C33+317440</f>
        <v>708160</v>
      </c>
      <c r="D33" s="6"/>
    </row>
    <row r="34" spans="1:6" ht="18" customHeight="1" x14ac:dyDescent="0.5">
      <c r="A34" s="13" t="s">
        <v>70</v>
      </c>
      <c r="B34" s="11" t="s">
        <v>72</v>
      </c>
      <c r="C34" s="6">
        <f>+ม.ค.60!C34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+ม.ค.60!D35+1280085.43</f>
        <v>13188581.489999998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+ม.ค.60!D36+2600</f>
        <v>2600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+ม.ค.60!D37-950643.54</f>
        <v>5701434.9999999991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+ม.ค.60!D38+33100-1273.7-42500-2530+13355.45</f>
        <v>2309230.88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+ม.ค.60!D39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+ม.ค.60!D40</f>
        <v>5524507.7400000002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+ม.ค.60!D41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32668283.739999998</v>
      </c>
      <c r="D42" s="8">
        <f>SUM(D6:D41)</f>
        <v>32668283.739999998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2"/>
  <sheetViews>
    <sheetView topLeftCell="A13" zoomScaleNormal="100" zoomScaleSheetLayoutView="100" workbookViewId="0">
      <selection activeCell="C16" sqref="C16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16384" width="9" style="1"/>
  </cols>
  <sheetData>
    <row r="1" spans="1:6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6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6" s="4" customFormat="1" ht="18" customHeight="1" x14ac:dyDescent="0.5">
      <c r="A3" s="24" t="s">
        <v>80</v>
      </c>
      <c r="B3" s="24"/>
      <c r="C3" s="24"/>
      <c r="D3" s="24"/>
      <c r="E3" s="5"/>
      <c r="F3" s="5"/>
    </row>
    <row r="5" spans="1:6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6" ht="18" customHeight="1" x14ac:dyDescent="0.5">
      <c r="A6" s="13" t="s">
        <v>5</v>
      </c>
      <c r="B6" s="11" t="s">
        <v>39</v>
      </c>
      <c r="C6" s="6">
        <f>+ก.พ.60!C6+63675-63565</f>
        <v>110</v>
      </c>
      <c r="D6" s="6" t="s">
        <v>6</v>
      </c>
    </row>
    <row r="7" spans="1:6" ht="18" customHeight="1" x14ac:dyDescent="0.5">
      <c r="A7" s="13" t="s">
        <v>7</v>
      </c>
      <c r="B7" s="11" t="s">
        <v>76</v>
      </c>
      <c r="C7" s="6">
        <f>+ก.พ.60!C7</f>
        <v>4989770</v>
      </c>
      <c r="D7" s="6"/>
    </row>
    <row r="8" spans="1:6" ht="18" customHeight="1" x14ac:dyDescent="0.5">
      <c r="A8" s="13" t="s">
        <v>8</v>
      </c>
      <c r="B8" s="11" t="s">
        <v>40</v>
      </c>
      <c r="C8" s="6">
        <f>+ก.พ.60!C8+1829896.68-3574637.51-814364</f>
        <v>11945494.959999999</v>
      </c>
      <c r="D8" s="6"/>
    </row>
    <row r="9" spans="1:6" ht="18" customHeight="1" x14ac:dyDescent="0.5">
      <c r="A9" s="13" t="s">
        <v>9</v>
      </c>
      <c r="B9" s="11" t="s">
        <v>40</v>
      </c>
      <c r="C9" s="6">
        <f>+ก.พ.60!C9</f>
        <v>181048.40999999997</v>
      </c>
      <c r="D9" s="6" t="s">
        <v>6</v>
      </c>
    </row>
    <row r="10" spans="1:6" ht="18" customHeight="1" x14ac:dyDescent="0.5">
      <c r="A10" s="13" t="s">
        <v>10</v>
      </c>
      <c r="B10" s="11" t="s">
        <v>40</v>
      </c>
      <c r="C10" s="6">
        <f>+ก.พ.60!C10+63565-1691361.08+3574637.51</f>
        <v>2108812.7099999995</v>
      </c>
      <c r="D10" s="6"/>
    </row>
    <row r="11" spans="1:6" ht="18" customHeight="1" x14ac:dyDescent="0.5">
      <c r="A11" s="13" t="s">
        <v>11</v>
      </c>
      <c r="B11" s="11" t="s">
        <v>40</v>
      </c>
      <c r="C11" s="6">
        <f>+ก.พ.60!C11</f>
        <v>484995.47</v>
      </c>
      <c r="D11" s="6"/>
    </row>
    <row r="12" spans="1:6" ht="18" customHeight="1" x14ac:dyDescent="0.5">
      <c r="A12" s="13" t="s">
        <v>12</v>
      </c>
      <c r="B12" s="11" t="s">
        <v>40</v>
      </c>
      <c r="C12" s="6">
        <f>+ก.พ.60!C12</f>
        <v>17289.719999999998</v>
      </c>
      <c r="D12" s="6"/>
    </row>
    <row r="13" spans="1:6" ht="18" customHeight="1" x14ac:dyDescent="0.5">
      <c r="A13" s="13" t="s">
        <v>13</v>
      </c>
      <c r="B13" s="11" t="s">
        <v>41</v>
      </c>
      <c r="C13" s="6">
        <f>+ก.พ.60!C13</f>
        <v>303899.46999999997</v>
      </c>
      <c r="D13" s="6"/>
    </row>
    <row r="14" spans="1:6" ht="18" customHeight="1" x14ac:dyDescent="0.5">
      <c r="A14" s="13" t="s">
        <v>14</v>
      </c>
      <c r="B14" s="11" t="s">
        <v>41</v>
      </c>
      <c r="C14" s="6">
        <f>+ก.พ.60!C14+4336.12</f>
        <v>2031057.4700000002</v>
      </c>
      <c r="D14" s="6"/>
      <c r="F14" s="2">
        <f>SUM(C8:C14)+C6</f>
        <v>17072708.210000001</v>
      </c>
    </row>
    <row r="15" spans="1:6" ht="18" customHeight="1" x14ac:dyDescent="0.5">
      <c r="A15" s="13" t="s">
        <v>15</v>
      </c>
      <c r="B15" s="11" t="s">
        <v>42</v>
      </c>
      <c r="C15" s="6">
        <f>+ก.พ.60!C15</f>
        <v>0</v>
      </c>
      <c r="D15" s="6"/>
    </row>
    <row r="16" spans="1:6" ht="18" customHeight="1" x14ac:dyDescent="0.5">
      <c r="A16" s="13" t="s">
        <v>43</v>
      </c>
      <c r="B16" s="11" t="s">
        <v>44</v>
      </c>
      <c r="C16" s="6">
        <f>+ก.พ.60!C16-17929+656306-30000-15664-580600</f>
        <v>27777</v>
      </c>
      <c r="D16" s="6"/>
      <c r="F16" s="2">
        <v>626264</v>
      </c>
    </row>
    <row r="17" spans="1:4" ht="18" customHeight="1" x14ac:dyDescent="0.5">
      <c r="A17" s="13" t="s">
        <v>16</v>
      </c>
      <c r="B17" s="11" t="s">
        <v>45</v>
      </c>
      <c r="C17" s="6">
        <f>+ก.พ.60!C17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+ก.พ.60!C18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+ก.พ.60!C19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+ก.พ.60!C20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+ก.พ.60!C21+5398+4900+1600+491300+88800+500</f>
        <v>4191974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+ก.พ.60!C22+214260</f>
        <v>1285560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+ก.พ.60!C23+366080</f>
        <v>2258588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+ก.พ.60!C24+44275</f>
        <v>266130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+ก.พ.60!C25+107945</f>
        <v>648345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+ก.พ.60!C26+42700</f>
        <v>170190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+ก.พ.60!C27+303859+30000+15664</f>
        <v>1587741.69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+ก.พ.60!C28+34420</f>
        <v>326282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+ก.พ.60!C29+20958.76</f>
        <v>139381.78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+ก.พ.60!C30+24000</f>
        <v>36000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+ก.พ.60!C31+369000</f>
        <v>468000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+ก.พ.60!C32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+ก.พ.60!C33+187240</f>
        <v>895400</v>
      </c>
      <c r="D33" s="6"/>
      <c r="F33" s="2">
        <f>SUM(C21:C33)</f>
        <v>12273592.469999999</v>
      </c>
    </row>
    <row r="34" spans="1:6" ht="18" customHeight="1" x14ac:dyDescent="0.5">
      <c r="A34" s="13" t="s">
        <v>70</v>
      </c>
      <c r="B34" s="11" t="s">
        <v>72</v>
      </c>
      <c r="C34" s="6">
        <f>+ก.พ.60!C34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+ก.พ.60!D35+1841878.8</f>
        <v>15030460.289999999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+ก.พ.60!D36</f>
        <v>2600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+ก.พ.60!D37-118000</f>
        <v>5583434.9999999991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+ก.พ.60!D38+38100-13355.45-5398+8572.13+5398</f>
        <v>2342547.5599999996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+ก.พ.60!D39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+ก.พ.60!D40</f>
        <v>5524507.7400000002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+ก.พ.60!D41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34425479.219999999</v>
      </c>
      <c r="D42" s="8">
        <f>SUM(D6:D41)</f>
        <v>34425479.219999999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topLeftCell="A13" zoomScaleNormal="100" zoomScaleSheetLayoutView="100" workbookViewId="0">
      <selection activeCell="G17" sqref="G17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7" width="9" style="1"/>
    <col min="8" max="8" width="12" style="1" customWidth="1"/>
    <col min="9" max="16384" width="9" style="1"/>
  </cols>
  <sheetData>
    <row r="1" spans="1:8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8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8" s="4" customFormat="1" ht="18" customHeight="1" x14ac:dyDescent="0.5">
      <c r="A3" s="24" t="s">
        <v>81</v>
      </c>
      <c r="B3" s="24"/>
      <c r="C3" s="24"/>
      <c r="D3" s="24"/>
      <c r="E3" s="5"/>
      <c r="F3" s="5"/>
    </row>
    <row r="5" spans="1:8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8" ht="18" customHeight="1" x14ac:dyDescent="0.5">
      <c r="A6" s="13" t="s">
        <v>5</v>
      </c>
      <c r="B6" s="11" t="s">
        <v>39</v>
      </c>
      <c r="C6" s="6">
        <f>+มี.ค.60!C6+2478-2588</f>
        <v>0</v>
      </c>
      <c r="D6" s="6" t="s">
        <v>6</v>
      </c>
    </row>
    <row r="7" spans="1:8" ht="18" customHeight="1" x14ac:dyDescent="0.5">
      <c r="A7" s="13" t="s">
        <v>7</v>
      </c>
      <c r="B7" s="11" t="s">
        <v>76</v>
      </c>
      <c r="C7" s="6">
        <f>+มี.ค.60!C7</f>
        <v>4989770</v>
      </c>
      <c r="D7" s="6"/>
    </row>
    <row r="8" spans="1:8" ht="18" customHeight="1" x14ac:dyDescent="0.5">
      <c r="A8" s="13" t="s">
        <v>8</v>
      </c>
      <c r="B8" s="11" t="s">
        <v>40</v>
      </c>
      <c r="C8" s="6">
        <f>+มี.ค.60!C8+3386367.8-789490</f>
        <v>14542372.759999998</v>
      </c>
      <c r="D8" s="6"/>
      <c r="F8" s="2">
        <v>15117375.529999999</v>
      </c>
      <c r="H8" s="3">
        <f>+F8-C8</f>
        <v>575002.77000000142</v>
      </c>
    </row>
    <row r="9" spans="1:8" ht="18" customHeight="1" x14ac:dyDescent="0.5">
      <c r="A9" s="13" t="s">
        <v>9</v>
      </c>
      <c r="B9" s="11" t="s">
        <v>40</v>
      </c>
      <c r="C9" s="6">
        <f>+มี.ค.60!C9</f>
        <v>181048.40999999997</v>
      </c>
      <c r="D9" s="6" t="s">
        <v>6</v>
      </c>
      <c r="H9" s="1">
        <v>574887.79</v>
      </c>
    </row>
    <row r="10" spans="1:8" ht="18" customHeight="1" x14ac:dyDescent="0.5">
      <c r="A10" s="13" t="s">
        <v>10</v>
      </c>
      <c r="B10" s="11" t="s">
        <v>40</v>
      </c>
      <c r="C10" s="6">
        <f>+มี.ค.60!C10+10835.62-859080.96</f>
        <v>1260567.3699999996</v>
      </c>
      <c r="D10" s="6"/>
    </row>
    <row r="11" spans="1:8" ht="18" customHeight="1" x14ac:dyDescent="0.5">
      <c r="A11" s="13" t="s">
        <v>11</v>
      </c>
      <c r="B11" s="11" t="s">
        <v>40</v>
      </c>
      <c r="C11" s="6">
        <f>+มี.ค.60!C11+1035.94</f>
        <v>486031.41</v>
      </c>
      <c r="D11" s="6"/>
      <c r="H11" s="3">
        <f>+H8-H9</f>
        <v>114.98000000137836</v>
      </c>
    </row>
    <row r="12" spans="1:8" ht="18" customHeight="1" x14ac:dyDescent="0.5">
      <c r="A12" s="13" t="s">
        <v>12</v>
      </c>
      <c r="B12" s="11" t="s">
        <v>40</v>
      </c>
      <c r="C12" s="6">
        <f>+มี.ค.60!C12+34.43</f>
        <v>17324.149999999998</v>
      </c>
      <c r="D12" s="6"/>
    </row>
    <row r="13" spans="1:8" ht="18" customHeight="1" x14ac:dyDescent="0.5">
      <c r="A13" s="13" t="s">
        <v>13</v>
      </c>
      <c r="B13" s="11" t="s">
        <v>41</v>
      </c>
      <c r="C13" s="6">
        <f>+มี.ค.60!C13</f>
        <v>303899.46999999997</v>
      </c>
      <c r="D13" s="6"/>
    </row>
    <row r="14" spans="1:8" ht="18" customHeight="1" x14ac:dyDescent="0.5">
      <c r="A14" s="13" t="s">
        <v>14</v>
      </c>
      <c r="B14" s="11" t="s">
        <v>41</v>
      </c>
      <c r="C14" s="6">
        <f>+มี.ค.60!C14</f>
        <v>2031057.4700000002</v>
      </c>
      <c r="D14" s="6"/>
      <c r="F14" s="2">
        <f>SUM(C8:C14)</f>
        <v>18822301.039999995</v>
      </c>
    </row>
    <row r="15" spans="1:8" ht="18" customHeight="1" x14ac:dyDescent="0.5">
      <c r="A15" s="13" t="s">
        <v>15</v>
      </c>
      <c r="B15" s="11" t="s">
        <v>42</v>
      </c>
      <c r="C15" s="6">
        <f>+มี.ค.60!C15</f>
        <v>0</v>
      </c>
      <c r="D15" s="6"/>
    </row>
    <row r="16" spans="1:8" ht="18" customHeight="1" x14ac:dyDescent="0.5">
      <c r="A16" s="13" t="s">
        <v>43</v>
      </c>
      <c r="B16" s="11" t="s">
        <v>44</v>
      </c>
      <c r="C16" s="6">
        <f>+มี.ค.60!C16+610732-27777-581400</f>
        <v>29332</v>
      </c>
      <c r="D16" s="6"/>
      <c r="F16" s="2">
        <v>609177</v>
      </c>
      <c r="G16" s="1">
        <v>29332</v>
      </c>
    </row>
    <row r="17" spans="1:4" ht="18" customHeight="1" x14ac:dyDescent="0.5">
      <c r="A17" s="13" t="s">
        <v>16</v>
      </c>
      <c r="B17" s="11" t="s">
        <v>45</v>
      </c>
      <c r="C17" s="6">
        <f>+มี.ค.60!C17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+มี.ค.60!C18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+มี.ค.60!C19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+มี.ค.60!C20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+มี.ค.60!C21+14878+489700+91200+500</f>
        <v>4788252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+มี.ค.60!C22+214260</f>
        <v>1499820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+มี.ค.60!C23+366080</f>
        <v>2624668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+มี.ค.60!C24+44275</f>
        <v>310405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+มี.ค.60!C25+107945</f>
        <v>756290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+มี.ค.60!C26+22200</f>
        <v>192390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+มี.ค.60!C27+224440+27777</f>
        <v>1839958.69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+มี.ค.60!C28</f>
        <v>326282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+มี.ค.60!C29+24986.11</f>
        <v>164367.89000000001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+มี.ค.60!C30</f>
        <v>36000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+มี.ค.60!C31</f>
        <v>468000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+มี.ค.60!C32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+มี.ค.60!C33+10000</f>
        <v>905400</v>
      </c>
      <c r="D33" s="6"/>
      <c r="F33" s="2">
        <f>SUM(C21:C33)</f>
        <v>13911833.58</v>
      </c>
    </row>
    <row r="34" spans="1:6" ht="18" customHeight="1" x14ac:dyDescent="0.5">
      <c r="A34" s="13" t="s">
        <v>70</v>
      </c>
      <c r="B34" s="11" t="s">
        <v>72</v>
      </c>
      <c r="C34" s="6">
        <f>+มี.ค.60!C34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+มี.ค.60!D35+3395633.79</f>
        <v>18426094.079999998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+มี.ค.60!D36</f>
        <v>2600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+มี.ค.60!D37</f>
        <v>5583434.9999999991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+มี.ค.60!D38+2530-8572.13-5398-2530+2327.28+5398</f>
        <v>2336302.7099999995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+มี.ค.60!D39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+มี.ค.60!D40</f>
        <v>5524507.7400000002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+มี.ค.60!D41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37814868.159999996</v>
      </c>
      <c r="D42" s="8">
        <f>SUM(D6:D41)</f>
        <v>37814868.160000004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topLeftCell="A10" zoomScaleNormal="100" zoomScaleSheetLayoutView="100" workbookViewId="0">
      <selection activeCell="C16" sqref="C16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7" width="12.25" style="1" customWidth="1"/>
    <col min="8" max="8" width="12" style="1" customWidth="1"/>
    <col min="9" max="16384" width="9" style="1"/>
  </cols>
  <sheetData>
    <row r="1" spans="1:8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8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8" s="4" customFormat="1" ht="18" customHeight="1" x14ac:dyDescent="0.5">
      <c r="A3" s="24" t="s">
        <v>82</v>
      </c>
      <c r="B3" s="24"/>
      <c r="C3" s="24"/>
      <c r="D3" s="24"/>
      <c r="E3" s="5"/>
      <c r="F3" s="5"/>
    </row>
    <row r="5" spans="1:8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8" ht="18" customHeight="1" x14ac:dyDescent="0.5">
      <c r="A6" s="13" t="s">
        <v>5</v>
      </c>
      <c r="B6" s="11" t="s">
        <v>39</v>
      </c>
      <c r="C6" s="6">
        <f>+เม.ย.60!C6+34238.61-34238.61</f>
        <v>0</v>
      </c>
      <c r="D6" s="6" t="s">
        <v>6</v>
      </c>
    </row>
    <row r="7" spans="1:8" ht="18" customHeight="1" x14ac:dyDescent="0.5">
      <c r="A7" s="13" t="s">
        <v>7</v>
      </c>
      <c r="B7" s="11" t="s">
        <v>76</v>
      </c>
      <c r="C7" s="6">
        <f>+เม.ย.60!C7</f>
        <v>4989770</v>
      </c>
      <c r="D7" s="6"/>
    </row>
    <row r="8" spans="1:8" ht="18" customHeight="1" x14ac:dyDescent="0.5">
      <c r="A8" s="13" t="s">
        <v>8</v>
      </c>
      <c r="B8" s="11" t="s">
        <v>40</v>
      </c>
      <c r="C8" s="6">
        <f>+เม.ย.60!C8+1636524.56-797303-4167326.54</f>
        <v>11214267.779999997</v>
      </c>
      <c r="D8" s="6"/>
      <c r="F8" s="2">
        <v>15117375.529999999</v>
      </c>
      <c r="H8" s="3">
        <f>+F8-C8</f>
        <v>3903107.7500000019</v>
      </c>
    </row>
    <row r="9" spans="1:8" ht="18" customHeight="1" x14ac:dyDescent="0.5">
      <c r="A9" s="13" t="s">
        <v>9</v>
      </c>
      <c r="B9" s="11" t="s">
        <v>40</v>
      </c>
      <c r="C9" s="6">
        <f>+เม.ย.60!C9</f>
        <v>181048.40999999997</v>
      </c>
      <c r="D9" s="6" t="s">
        <v>6</v>
      </c>
      <c r="H9" s="1">
        <v>574887.79</v>
      </c>
    </row>
    <row r="10" spans="1:8" ht="18" customHeight="1" x14ac:dyDescent="0.5">
      <c r="A10" s="13" t="s">
        <v>10</v>
      </c>
      <c r="B10" s="11" t="s">
        <v>40</v>
      </c>
      <c r="C10" s="6">
        <f>+เม.ย.60!C10+14818.61-1936090.76+4167326.54</f>
        <v>3506621.76</v>
      </c>
      <c r="D10" s="6"/>
    </row>
    <row r="11" spans="1:8" ht="18" customHeight="1" x14ac:dyDescent="0.5">
      <c r="A11" s="13" t="s">
        <v>11</v>
      </c>
      <c r="B11" s="11" t="s">
        <v>40</v>
      </c>
      <c r="C11" s="6">
        <f>+เม.ย.60!C11+20000</f>
        <v>506031.41</v>
      </c>
      <c r="D11" s="6"/>
      <c r="H11" s="3">
        <f>+H8-H9</f>
        <v>3328219.9600000018</v>
      </c>
    </row>
    <row r="12" spans="1:8" ht="18" customHeight="1" x14ac:dyDescent="0.5">
      <c r="A12" s="13" t="s">
        <v>12</v>
      </c>
      <c r="B12" s="11" t="s">
        <v>40</v>
      </c>
      <c r="C12" s="6">
        <f>+เม.ย.60!C12</f>
        <v>17324.149999999998</v>
      </c>
      <c r="D12" s="6"/>
    </row>
    <row r="13" spans="1:8" ht="18" customHeight="1" x14ac:dyDescent="0.5">
      <c r="A13" s="13" t="s">
        <v>13</v>
      </c>
      <c r="B13" s="11" t="s">
        <v>41</v>
      </c>
      <c r="C13" s="6">
        <f>+เม.ย.60!C13</f>
        <v>303899.46999999997</v>
      </c>
      <c r="D13" s="6"/>
    </row>
    <row r="14" spans="1:8" ht="18" customHeight="1" x14ac:dyDescent="0.5">
      <c r="A14" s="13" t="s">
        <v>14</v>
      </c>
      <c r="B14" s="11" t="s">
        <v>41</v>
      </c>
      <c r="C14" s="6">
        <f>+เม.ย.60!C14</f>
        <v>2031057.4700000002</v>
      </c>
      <c r="D14" s="6"/>
      <c r="F14" s="2">
        <f>SUM(C8:C14)</f>
        <v>17760250.449999999</v>
      </c>
    </row>
    <row r="15" spans="1:8" ht="18" customHeight="1" x14ac:dyDescent="0.5">
      <c r="A15" s="13" t="s">
        <v>15</v>
      </c>
      <c r="B15" s="11" t="s">
        <v>42</v>
      </c>
      <c r="C15" s="6">
        <f>+เม.ย.60!C15</f>
        <v>0</v>
      </c>
      <c r="D15" s="6"/>
    </row>
    <row r="16" spans="1:8" ht="18" customHeight="1" x14ac:dyDescent="0.5">
      <c r="A16" s="13" t="s">
        <v>43</v>
      </c>
      <c r="B16" s="11" t="s">
        <v>44</v>
      </c>
      <c r="C16" s="6">
        <f>+เม.ย.60!C16-1920+652505-579700-17072-14133</f>
        <v>69012</v>
      </c>
      <c r="D16" s="6"/>
      <c r="F16" s="2">
        <f>31205+579700</f>
        <v>610905</v>
      </c>
      <c r="G16" s="1">
        <v>609424</v>
      </c>
      <c r="H16" s="2">
        <f>+F16-G16</f>
        <v>1481</v>
      </c>
    </row>
    <row r="17" spans="1:4" ht="18" customHeight="1" x14ac:dyDescent="0.5">
      <c r="A17" s="13" t="s">
        <v>16</v>
      </c>
      <c r="B17" s="11" t="s">
        <v>45</v>
      </c>
      <c r="C17" s="6">
        <f>+เม.ย.60!C17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+เม.ย.60!C18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+เม.ย.60!C19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+เม.ย.60!C20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+เม.ย.60!C21+11898+487200+92000+500</f>
        <v>5379850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+เม.ย.60!C22+214260</f>
        <v>1714080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+เม.ย.60!C23+366080</f>
        <v>2990748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+เม.ย.60!C24+44275</f>
        <v>354680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+เม.ย.60!C25+107945</f>
        <v>864235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+เม.ย.60!C26+35900</f>
        <v>228290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+เม.ย.60!C27+173458+17072+14133</f>
        <v>2044621.69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+เม.ย.60!C28+479576.2</f>
        <v>805858.2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+เม.ย.60!C29+58966.63</f>
        <v>223334.52000000002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+เม.ย.60!C30+65280</f>
        <v>101280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+เม.ย.60!C31+493000</f>
        <v>961000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+เม.ย.60!C32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+เม.ย.60!C33</f>
        <v>905400</v>
      </c>
      <c r="D33" s="6"/>
      <c r="F33" s="2">
        <f>SUM(C21:C33)</f>
        <v>16573377.409999998</v>
      </c>
    </row>
    <row r="34" spans="1:6" ht="18" customHeight="1" x14ac:dyDescent="0.5">
      <c r="A34" s="13" t="s">
        <v>70</v>
      </c>
      <c r="B34" s="11" t="s">
        <v>72</v>
      </c>
      <c r="C34" s="6">
        <f>+เม.ย.60!C34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+เม.ย.60!D35+1637230.56</f>
        <v>20063324.639999997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+เม.ย.60!D36</f>
        <v>2600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+เม.ย.60!D37-28000</f>
        <v>5555434.9999999991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+เม.ย.60!D38+39040.35-19310.28</f>
        <v>2356032.7799999998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+เม.ย.60!D39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+เม.ย.60!D40+10212.61</f>
        <v>5534720.3500000006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+เม.ย.60!D41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39454041.399999999</v>
      </c>
      <c r="D42" s="8">
        <f>SUM(D6:D41)</f>
        <v>39454041.399999999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2"/>
  <sheetViews>
    <sheetView topLeftCell="A13" zoomScaleNormal="100" zoomScaleSheetLayoutView="100" workbookViewId="0">
      <selection activeCell="F17" sqref="F17"/>
    </sheetView>
  </sheetViews>
  <sheetFormatPr defaultColWidth="9" defaultRowHeight="18" customHeight="1" x14ac:dyDescent="0.5"/>
  <cols>
    <col min="1" max="1" width="40.625" style="15" customWidth="1"/>
    <col min="2" max="2" width="10.125" style="10" customWidth="1"/>
    <col min="3" max="3" width="14.375" style="3" customWidth="1"/>
    <col min="4" max="4" width="16.625" style="1" customWidth="1"/>
    <col min="5" max="5" width="9" style="2"/>
    <col min="6" max="6" width="12.75" style="2" customWidth="1"/>
    <col min="7" max="7" width="9" style="1"/>
    <col min="8" max="8" width="12" style="1" customWidth="1"/>
    <col min="9" max="16384" width="9" style="1"/>
  </cols>
  <sheetData>
    <row r="1" spans="1:8" s="4" customFormat="1" ht="18" customHeight="1" x14ac:dyDescent="0.5">
      <c r="A1" s="24" t="s">
        <v>0</v>
      </c>
      <c r="B1" s="24"/>
      <c r="C1" s="24"/>
      <c r="D1" s="24"/>
      <c r="E1" s="5"/>
      <c r="F1" s="5"/>
    </row>
    <row r="2" spans="1:8" s="4" customFormat="1" ht="18" customHeight="1" x14ac:dyDescent="0.5">
      <c r="A2" s="24" t="s">
        <v>73</v>
      </c>
      <c r="B2" s="24"/>
      <c r="C2" s="24"/>
      <c r="D2" s="24"/>
      <c r="E2" s="5"/>
      <c r="F2" s="5"/>
    </row>
    <row r="3" spans="1:8" s="4" customFormat="1" ht="18" customHeight="1" x14ac:dyDescent="0.5">
      <c r="A3" s="24" t="s">
        <v>83</v>
      </c>
      <c r="B3" s="24"/>
      <c r="C3" s="24"/>
      <c r="D3" s="24"/>
      <c r="E3" s="5"/>
      <c r="F3" s="5"/>
    </row>
    <row r="5" spans="1:8" ht="18" customHeight="1" x14ac:dyDescent="0.5">
      <c r="A5" s="12" t="s">
        <v>1</v>
      </c>
      <c r="B5" s="9" t="s">
        <v>2</v>
      </c>
      <c r="C5" s="7" t="s">
        <v>3</v>
      </c>
      <c r="D5" s="7" t="s">
        <v>4</v>
      </c>
    </row>
    <row r="6" spans="1:8" ht="18" customHeight="1" x14ac:dyDescent="0.5">
      <c r="A6" s="13" t="s">
        <v>5</v>
      </c>
      <c r="B6" s="11" t="s">
        <v>39</v>
      </c>
      <c r="C6" s="6">
        <f>+พ.ค.60!C6+46800-46800</f>
        <v>0</v>
      </c>
      <c r="D6" s="6" t="s">
        <v>6</v>
      </c>
    </row>
    <row r="7" spans="1:8" ht="18" customHeight="1" x14ac:dyDescent="0.5">
      <c r="A7" s="13" t="s">
        <v>7</v>
      </c>
      <c r="B7" s="11" t="s">
        <v>76</v>
      </c>
      <c r="C7" s="6">
        <f>+พ.ค.60!C7</f>
        <v>4989770</v>
      </c>
      <c r="D7" s="6"/>
    </row>
    <row r="8" spans="1:8" ht="18" customHeight="1" x14ac:dyDescent="0.5">
      <c r="A8" s="13" t="s">
        <v>8</v>
      </c>
      <c r="B8" s="11" t="s">
        <v>40</v>
      </c>
      <c r="C8" s="6">
        <f>+พ.ค.60!C8+1443189.53-831104</f>
        <v>11826353.309999997</v>
      </c>
      <c r="D8" s="6"/>
      <c r="F8" s="2">
        <v>15117375.529999999</v>
      </c>
      <c r="H8" s="3">
        <f>+F8-C8</f>
        <v>3291022.2200000025</v>
      </c>
    </row>
    <row r="9" spans="1:8" ht="18" customHeight="1" x14ac:dyDescent="0.5">
      <c r="A9" s="13" t="s">
        <v>9</v>
      </c>
      <c r="B9" s="11" t="s">
        <v>40</v>
      </c>
      <c r="C9" s="6">
        <f>+พ.ค.60!C9</f>
        <v>181048.40999999997</v>
      </c>
      <c r="D9" s="6" t="s">
        <v>6</v>
      </c>
      <c r="H9" s="1">
        <v>574887.79</v>
      </c>
    </row>
    <row r="10" spans="1:8" ht="18" customHeight="1" x14ac:dyDescent="0.5">
      <c r="A10" s="13" t="s">
        <v>10</v>
      </c>
      <c r="B10" s="11" t="s">
        <v>40</v>
      </c>
      <c r="C10" s="6">
        <f>+พ.ค.60!C10+42108-1038248.2+4692</f>
        <v>2515173.5599999996</v>
      </c>
      <c r="D10" s="6"/>
    </row>
    <row r="11" spans="1:8" ht="18" customHeight="1" x14ac:dyDescent="0.5">
      <c r="A11" s="13" t="s">
        <v>11</v>
      </c>
      <c r="B11" s="11" t="s">
        <v>40</v>
      </c>
      <c r="C11" s="6">
        <f>+พ.ค.60!C11</f>
        <v>506031.41</v>
      </c>
      <c r="D11" s="6"/>
      <c r="H11" s="3">
        <f>+H8-H9</f>
        <v>2716134.4300000025</v>
      </c>
    </row>
    <row r="12" spans="1:8" ht="18" customHeight="1" x14ac:dyDescent="0.5">
      <c r="A12" s="13" t="s">
        <v>12</v>
      </c>
      <c r="B12" s="11" t="s">
        <v>40</v>
      </c>
      <c r="C12" s="6">
        <f>+พ.ค.60!C12</f>
        <v>17324.149999999998</v>
      </c>
      <c r="D12" s="6"/>
    </row>
    <row r="13" spans="1:8" ht="18" customHeight="1" x14ac:dyDescent="0.5">
      <c r="A13" s="13" t="s">
        <v>13</v>
      </c>
      <c r="B13" s="11" t="s">
        <v>41</v>
      </c>
      <c r="C13" s="6">
        <f>+พ.ค.60!C13</f>
        <v>303899.46999999997</v>
      </c>
      <c r="D13" s="6"/>
    </row>
    <row r="14" spans="1:8" ht="18" customHeight="1" x14ac:dyDescent="0.5">
      <c r="A14" s="13" t="s">
        <v>14</v>
      </c>
      <c r="B14" s="11" t="s">
        <v>41</v>
      </c>
      <c r="C14" s="6">
        <f>+พ.ค.60!C14</f>
        <v>2031057.4700000002</v>
      </c>
      <c r="D14" s="6"/>
      <c r="F14" s="2">
        <f>SUM(C8:C14)</f>
        <v>17380887.779999997</v>
      </c>
    </row>
    <row r="15" spans="1:8" ht="18" customHeight="1" x14ac:dyDescent="0.5">
      <c r="A15" s="13" t="s">
        <v>15</v>
      </c>
      <c r="B15" s="11" t="s">
        <v>42</v>
      </c>
      <c r="C15" s="6">
        <f>+พ.ค.60!C15</f>
        <v>0</v>
      </c>
      <c r="D15" s="6"/>
    </row>
    <row r="16" spans="1:8" ht="18" customHeight="1" x14ac:dyDescent="0.5">
      <c r="A16" s="13" t="s">
        <v>43</v>
      </c>
      <c r="B16" s="11" t="s">
        <v>44</v>
      </c>
      <c r="C16" s="6">
        <f>+พ.ค.60!C16-720+721656-487200-90400-500-42720-6226-17685</f>
        <v>145217</v>
      </c>
      <c r="D16" s="6"/>
      <c r="F16" s="2">
        <v>644731</v>
      </c>
    </row>
    <row r="17" spans="1:4" ht="18" customHeight="1" x14ac:dyDescent="0.5">
      <c r="A17" s="13" t="s">
        <v>16</v>
      </c>
      <c r="B17" s="11" t="s">
        <v>45</v>
      </c>
      <c r="C17" s="6">
        <f>+พ.ค.60!C17</f>
        <v>39161.54</v>
      </c>
      <c r="D17" s="6"/>
    </row>
    <row r="18" spans="1:4" ht="18" customHeight="1" x14ac:dyDescent="0.5">
      <c r="A18" s="13" t="s">
        <v>17</v>
      </c>
      <c r="B18" s="11" t="s">
        <v>46</v>
      </c>
      <c r="C18" s="6">
        <f>+พ.ค.60!C18</f>
        <v>0</v>
      </c>
      <c r="D18" s="6"/>
    </row>
    <row r="19" spans="1:4" ht="18" customHeight="1" x14ac:dyDescent="0.5">
      <c r="A19" s="13" t="s">
        <v>18</v>
      </c>
      <c r="B19" s="11" t="s">
        <v>47</v>
      </c>
      <c r="C19" s="6">
        <f>+พ.ค.60!C19</f>
        <v>0</v>
      </c>
      <c r="D19" s="6"/>
    </row>
    <row r="20" spans="1:4" ht="18" customHeight="1" x14ac:dyDescent="0.5">
      <c r="A20" s="13" t="s">
        <v>19</v>
      </c>
      <c r="B20" s="11" t="s">
        <v>48</v>
      </c>
      <c r="C20" s="6">
        <f>+พ.ค.60!C20</f>
        <v>22470</v>
      </c>
      <c r="D20" s="6"/>
    </row>
    <row r="21" spans="1:4" ht="18" customHeight="1" x14ac:dyDescent="0.5">
      <c r="A21" s="13" t="s">
        <v>20</v>
      </c>
      <c r="B21" s="11" t="s">
        <v>49</v>
      </c>
      <c r="C21" s="6">
        <f>+พ.ค.60!C21+11898+487200+90400+500</f>
        <v>5969848</v>
      </c>
      <c r="D21" s="6"/>
    </row>
    <row r="22" spans="1:4" ht="18" customHeight="1" x14ac:dyDescent="0.5">
      <c r="A22" s="13" t="s">
        <v>21</v>
      </c>
      <c r="B22" s="11" t="s">
        <v>50</v>
      </c>
      <c r="C22" s="6">
        <f>+พ.ค.60!C22+214260</f>
        <v>1928340</v>
      </c>
      <c r="D22" s="6"/>
    </row>
    <row r="23" spans="1:4" ht="18" customHeight="1" x14ac:dyDescent="0.5">
      <c r="A23" s="13" t="s">
        <v>22</v>
      </c>
      <c r="B23" s="11" t="s">
        <v>51</v>
      </c>
      <c r="C23" s="6">
        <f>+พ.ค.60!C23+388580</f>
        <v>3379328</v>
      </c>
      <c r="D23" s="6"/>
    </row>
    <row r="24" spans="1:4" ht="18" customHeight="1" x14ac:dyDescent="0.5">
      <c r="A24" s="13" t="s">
        <v>23</v>
      </c>
      <c r="B24" s="11" t="s">
        <v>52</v>
      </c>
      <c r="C24" s="6">
        <f>+พ.ค.60!C24+46565</f>
        <v>401245</v>
      </c>
      <c r="D24" s="6"/>
    </row>
    <row r="25" spans="1:4" ht="18" customHeight="1" x14ac:dyDescent="0.5">
      <c r="A25" s="13" t="s">
        <v>24</v>
      </c>
      <c r="B25" s="11" t="s">
        <v>53</v>
      </c>
      <c r="C25" s="6">
        <f>+พ.ค.60!C25+107945</f>
        <v>972180</v>
      </c>
      <c r="D25" s="6"/>
    </row>
    <row r="26" spans="1:4" ht="18" customHeight="1" x14ac:dyDescent="0.5">
      <c r="A26" s="13" t="s">
        <v>25</v>
      </c>
      <c r="B26" s="11" t="s">
        <v>54</v>
      </c>
      <c r="C26" s="6">
        <f>+พ.ค.60!C26+30300</f>
        <v>258590</v>
      </c>
      <c r="D26" s="6"/>
    </row>
    <row r="27" spans="1:4" ht="18" customHeight="1" x14ac:dyDescent="0.5">
      <c r="A27" s="13" t="s">
        <v>26</v>
      </c>
      <c r="B27" s="11" t="s">
        <v>55</v>
      </c>
      <c r="C27" s="6">
        <f>+พ.ค.60!C27+129181+42720+6226+17685</f>
        <v>2240433.69</v>
      </c>
      <c r="D27" s="6"/>
    </row>
    <row r="28" spans="1:4" ht="18" customHeight="1" x14ac:dyDescent="0.5">
      <c r="A28" s="13" t="s">
        <v>27</v>
      </c>
      <c r="B28" s="11" t="s">
        <v>56</v>
      </c>
      <c r="C28" s="6">
        <f>+พ.ค.60!C28+27260.6</f>
        <v>833118.79999999993</v>
      </c>
      <c r="D28" s="6"/>
    </row>
    <row r="29" spans="1:4" ht="18" customHeight="1" x14ac:dyDescent="0.5">
      <c r="A29" s="13" t="s">
        <v>28</v>
      </c>
      <c r="B29" s="11" t="s">
        <v>57</v>
      </c>
      <c r="C29" s="6">
        <f>+พ.ค.60!C29+27403.43</f>
        <v>250737.95</v>
      </c>
      <c r="D29" s="6"/>
    </row>
    <row r="30" spans="1:4" ht="18" customHeight="1" x14ac:dyDescent="0.5">
      <c r="A30" s="13" t="s">
        <v>29</v>
      </c>
      <c r="B30" s="11" t="s">
        <v>58</v>
      </c>
      <c r="C30" s="6">
        <f>+พ.ค.60!C30+7900</f>
        <v>109180</v>
      </c>
      <c r="D30" s="6"/>
    </row>
    <row r="31" spans="1:4" ht="18" customHeight="1" x14ac:dyDescent="0.5">
      <c r="A31" s="13" t="s">
        <v>30</v>
      </c>
      <c r="B31" s="11" t="s">
        <v>59</v>
      </c>
      <c r="C31" s="6">
        <f>+พ.ค.60!C31</f>
        <v>961000</v>
      </c>
      <c r="D31" s="6"/>
    </row>
    <row r="32" spans="1:4" ht="18" customHeight="1" x14ac:dyDescent="0.5">
      <c r="A32" s="13" t="s">
        <v>31</v>
      </c>
      <c r="B32" s="11" t="s">
        <v>60</v>
      </c>
      <c r="C32" s="6">
        <f>+พ.ค.60!C32</f>
        <v>0</v>
      </c>
      <c r="D32" s="6"/>
    </row>
    <row r="33" spans="1:6" ht="18" customHeight="1" x14ac:dyDescent="0.5">
      <c r="A33" s="13" t="s">
        <v>32</v>
      </c>
      <c r="B33" s="11" t="s">
        <v>61</v>
      </c>
      <c r="C33" s="6">
        <f>+พ.ค.60!C33+129200</f>
        <v>1034600</v>
      </c>
      <c r="D33" s="6"/>
      <c r="F33" s="2">
        <f>SUM(C21:C33)</f>
        <v>18338601.439999998</v>
      </c>
    </row>
    <row r="34" spans="1:6" ht="18" customHeight="1" x14ac:dyDescent="0.5">
      <c r="A34" s="13" t="s">
        <v>70</v>
      </c>
      <c r="B34" s="11" t="s">
        <v>72</v>
      </c>
      <c r="C34" s="6">
        <f>+พ.ค.60!C34</f>
        <v>0</v>
      </c>
      <c r="D34" s="6"/>
    </row>
    <row r="35" spans="1:6" ht="18" customHeight="1" x14ac:dyDescent="0.5">
      <c r="A35" s="13" t="s">
        <v>33</v>
      </c>
      <c r="B35" s="11" t="s">
        <v>63</v>
      </c>
      <c r="C35" s="6"/>
      <c r="D35" s="6">
        <f>+พ.ค.60!D35+1444669.53</f>
        <v>21507994.169999998</v>
      </c>
      <c r="F35" s="2">
        <f>+D35-F33</f>
        <v>3169392.7300000004</v>
      </c>
    </row>
    <row r="36" spans="1:6" ht="18" customHeight="1" x14ac:dyDescent="0.5">
      <c r="A36" s="13" t="s">
        <v>34</v>
      </c>
      <c r="B36" s="11" t="s">
        <v>65</v>
      </c>
      <c r="C36" s="6"/>
      <c r="D36" s="6">
        <f>+พ.ค.60!D36</f>
        <v>2600</v>
      </c>
    </row>
    <row r="37" spans="1:6" ht="18" customHeight="1" x14ac:dyDescent="0.5">
      <c r="A37" s="13" t="s">
        <v>71</v>
      </c>
      <c r="B37" s="11" t="s">
        <v>64</v>
      </c>
      <c r="C37" s="6"/>
      <c r="D37" s="6">
        <f>+พ.ค.60!D37</f>
        <v>5555434.9999999991</v>
      </c>
    </row>
    <row r="38" spans="1:6" ht="18" customHeight="1" x14ac:dyDescent="0.5">
      <c r="A38" s="13" t="s">
        <v>62</v>
      </c>
      <c r="B38" s="11" t="s">
        <v>66</v>
      </c>
      <c r="C38" s="6"/>
      <c r="D38" s="6">
        <f>+พ.ค.60!D38+40000+4600-11662.35-18100-5398+2559.18+5398</f>
        <v>2373429.61</v>
      </c>
    </row>
    <row r="39" spans="1:6" ht="18" customHeight="1" x14ac:dyDescent="0.5">
      <c r="A39" s="13" t="s">
        <v>35</v>
      </c>
      <c r="B39" s="11" t="s">
        <v>67</v>
      </c>
      <c r="C39" s="6"/>
      <c r="D39" s="6">
        <f>+พ.ค.60!D39</f>
        <v>22470</v>
      </c>
    </row>
    <row r="40" spans="1:6" ht="18" customHeight="1" x14ac:dyDescent="0.5">
      <c r="A40" s="13" t="s">
        <v>36</v>
      </c>
      <c r="B40" s="11" t="s">
        <v>68</v>
      </c>
      <c r="C40" s="6"/>
      <c r="D40" s="6">
        <f>+พ.ค.60!D40</f>
        <v>5534720.3500000006</v>
      </c>
    </row>
    <row r="41" spans="1:6" ht="18" customHeight="1" x14ac:dyDescent="0.5">
      <c r="A41" s="13" t="s">
        <v>37</v>
      </c>
      <c r="B41" s="11" t="s">
        <v>69</v>
      </c>
      <c r="C41" s="6"/>
      <c r="D41" s="6">
        <f>+พ.ค.60!D41</f>
        <v>5919458.6299999999</v>
      </c>
    </row>
    <row r="42" spans="1:6" ht="18" customHeight="1" x14ac:dyDescent="0.5">
      <c r="A42" s="14" t="s">
        <v>38</v>
      </c>
      <c r="B42" s="9"/>
      <c r="C42" s="8">
        <f>SUM(C6:C41)</f>
        <v>40916107.75999999</v>
      </c>
      <c r="D42" s="8">
        <f>SUM(D6:D41)</f>
        <v>40916107.759999998</v>
      </c>
      <c r="F42" s="2">
        <f>+C42-D42</f>
        <v>0</v>
      </c>
    </row>
  </sheetData>
  <mergeCells count="3">
    <mergeCell ref="A1:D1"/>
    <mergeCell ref="A2:D2"/>
    <mergeCell ref="A3:D3"/>
  </mergeCells>
  <pageMargins left="0.78740157480314965" right="0.39370078740157483" top="0.39370078740157483" bottom="0.39370078740157483" header="0.15748031496062992" footer="0.1574803149606299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ต.ค.60</vt:lpstr>
      <vt:lpstr>พ.ย.60</vt:lpstr>
      <vt:lpstr>ธ.ค.60</vt:lpstr>
      <vt:lpstr>ม.ค.60</vt:lpstr>
      <vt:lpstr>ก.พ.60</vt:lpstr>
      <vt:lpstr>มี.ค.60</vt:lpstr>
      <vt:lpstr>เม.ย.60</vt:lpstr>
      <vt:lpstr>พ.ค.60</vt:lpstr>
      <vt:lpstr>มิ.ย.60</vt:lpstr>
      <vt:lpstr>ก.ค.60</vt:lpstr>
      <vt:lpstr>ส.ค.60</vt:lpstr>
      <vt:lpstr>ก.ย.60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</cp:lastModifiedBy>
  <cp:lastPrinted>2017-10-10T05:15:56Z</cp:lastPrinted>
  <dcterms:created xsi:type="dcterms:W3CDTF">2014-06-10T07:04:06Z</dcterms:created>
  <dcterms:modified xsi:type="dcterms:W3CDTF">2017-10-10T13:51:00Z</dcterms:modified>
</cp:coreProperties>
</file>